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tei\Desktop\模範解答\"/>
    </mc:Choice>
  </mc:AlternateContent>
  <xr:revisionPtr revIDLastSave="0" documentId="13_ncr:1_{EFBE6E91-D04B-4EB3-96A9-A43DB8CB55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1" r:id="rId1"/>
    <sheet name="７月前期" sheetId="3" r:id="rId2"/>
    <sheet name="７月後期" sheetId="5" r:id="rId3"/>
    <sheet name="計算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" i="5"/>
  <c r="F2" i="3" l="1"/>
  <c r="K7" i="4"/>
  <c r="K5" i="4"/>
  <c r="M5" i="4"/>
  <c r="L4" i="4"/>
  <c r="K6" i="4"/>
  <c r="L6" i="4"/>
  <c r="M6" i="4"/>
  <c r="K4" i="4"/>
  <c r="L5" i="4"/>
  <c r="M4" i="4"/>
  <c r="G2" i="3" l="1"/>
  <c r="H2" i="3" s="1"/>
  <c r="G7" i="4"/>
  <c r="G4" i="4"/>
  <c r="G5" i="4"/>
  <c r="G6" i="4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F23" i="5"/>
  <c r="G23" i="5" s="1"/>
  <c r="F18" i="5"/>
  <c r="G18" i="5" s="1"/>
  <c r="F9" i="5"/>
  <c r="G9" i="5" s="1"/>
  <c r="F4" i="5"/>
  <c r="G4" i="5" s="1"/>
  <c r="F24" i="5"/>
  <c r="G24" i="5" s="1"/>
  <c r="F15" i="5"/>
  <c r="G15" i="5" s="1"/>
  <c r="F19" i="5"/>
  <c r="G19" i="5" s="1"/>
  <c r="F14" i="5"/>
  <c r="G14" i="5" s="1"/>
  <c r="F6" i="5"/>
  <c r="G6" i="5" s="1"/>
  <c r="F2" i="5"/>
  <c r="G2" i="5" s="1"/>
  <c r="F17" i="5"/>
  <c r="G17" i="5" s="1"/>
  <c r="F8" i="5"/>
  <c r="G8" i="5" s="1"/>
  <c r="F13" i="5"/>
  <c r="G13" i="5" s="1"/>
  <c r="F5" i="5"/>
  <c r="G5" i="5" s="1"/>
  <c r="F10" i="5"/>
  <c r="G10" i="5" s="1"/>
  <c r="F21" i="5"/>
  <c r="G21" i="5" s="1"/>
  <c r="F3" i="5"/>
  <c r="G3" i="5" s="1"/>
  <c r="F16" i="5"/>
  <c r="G16" i="5" s="1"/>
  <c r="F25" i="5"/>
  <c r="G25" i="5" s="1"/>
  <c r="F20" i="5"/>
  <c r="G20" i="5" s="1"/>
  <c r="F11" i="5"/>
  <c r="G11" i="5" s="1"/>
  <c r="F22" i="5"/>
  <c r="G22" i="5" s="1"/>
  <c r="F7" i="5"/>
  <c r="G7" i="5" s="1"/>
  <c r="F12" i="5"/>
  <c r="G12" i="5" s="1"/>
  <c r="F3" i="3"/>
  <c r="G3" i="3" s="1"/>
  <c r="F4" i="3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H7" i="4"/>
  <c r="H4" i="4"/>
  <c r="H5" i="4"/>
  <c r="H6" i="4"/>
  <c r="W2" i="4" l="1"/>
  <c r="N4" i="4"/>
  <c r="Q4" i="4" s="1"/>
  <c r="H9" i="4"/>
  <c r="N5" i="4"/>
  <c r="Q5" i="4" s="1"/>
  <c r="N6" i="4"/>
  <c r="Q6" i="4" s="1"/>
  <c r="K9" i="4"/>
  <c r="N7" i="4"/>
  <c r="Q7" i="4" s="1"/>
  <c r="H15" i="3"/>
  <c r="I15" i="3" s="1"/>
  <c r="H19" i="3"/>
  <c r="I19" i="3" s="1"/>
  <c r="N9" i="4" l="1"/>
  <c r="H25" i="3"/>
  <c r="I25" i="3" s="1"/>
  <c r="H24" i="3"/>
  <c r="I24" i="3" s="1"/>
  <c r="H23" i="3"/>
  <c r="I23" i="3" s="1"/>
  <c r="H21" i="3"/>
  <c r="I21" i="3" s="1"/>
  <c r="H20" i="3"/>
  <c r="I20" i="3" s="1"/>
  <c r="H17" i="3"/>
  <c r="I17" i="3" s="1"/>
  <c r="H16" i="3"/>
  <c r="I16" i="3" s="1"/>
  <c r="H14" i="3"/>
  <c r="I14" i="3" s="1"/>
  <c r="H2" i="5"/>
  <c r="H3" i="5"/>
  <c r="H4" i="5"/>
  <c r="H5" i="5"/>
  <c r="H6" i="5"/>
  <c r="I6" i="5" s="1"/>
  <c r="H7" i="5"/>
  <c r="I7" i="5" s="1"/>
  <c r="H8" i="5"/>
  <c r="I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H24" i="5"/>
  <c r="I24" i="5" s="1"/>
  <c r="H25" i="5"/>
  <c r="H22" i="3"/>
  <c r="I22" i="3" s="1"/>
  <c r="H18" i="3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E27" i="5"/>
  <c r="B3" i="5"/>
  <c r="B4" i="5"/>
  <c r="B5" i="5"/>
  <c r="B6" i="5"/>
  <c r="B7" i="5"/>
  <c r="B8" i="5"/>
  <c r="B9" i="5"/>
  <c r="B10" i="5"/>
  <c r="B11" i="5"/>
  <c r="B12" i="5"/>
  <c r="B2" i="5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" i="3"/>
  <c r="L7" i="4"/>
  <c r="I25" i="5" l="1"/>
  <c r="W3" i="4"/>
  <c r="I5" i="5"/>
  <c r="I4" i="5"/>
  <c r="I3" i="5"/>
  <c r="I2" i="5"/>
  <c r="I18" i="3"/>
  <c r="H13" i="3"/>
  <c r="I13" i="3" s="1"/>
  <c r="E27" i="3"/>
  <c r="M7" i="4"/>
  <c r="H8" i="3" l="1"/>
  <c r="I8" i="3" s="1"/>
  <c r="H4" i="3"/>
  <c r="H3" i="3"/>
  <c r="H6" i="3"/>
  <c r="L9" i="4"/>
  <c r="M9" i="4"/>
  <c r="H12" i="3"/>
  <c r="I12" i="3" s="1"/>
  <c r="H10" i="3"/>
  <c r="I10" i="3" s="1"/>
  <c r="H7" i="3"/>
  <c r="I7" i="3" s="1"/>
  <c r="I4" i="4"/>
  <c r="I6" i="4"/>
  <c r="I6" i="3" l="1"/>
  <c r="I2" i="3"/>
  <c r="I3" i="3"/>
  <c r="I4" i="3"/>
  <c r="B3" i="4"/>
  <c r="B5" i="4"/>
  <c r="B7" i="4"/>
  <c r="B6" i="4"/>
  <c r="D7" i="4"/>
  <c r="C7" i="4"/>
  <c r="D5" i="4"/>
  <c r="C5" i="4"/>
  <c r="D3" i="4"/>
  <c r="C3" i="4"/>
  <c r="B4" i="4"/>
  <c r="B8" i="4"/>
  <c r="H9" i="3"/>
  <c r="I9" i="3" s="1"/>
  <c r="D4" i="4" s="1"/>
  <c r="H11" i="3"/>
  <c r="G27" i="5"/>
  <c r="G27" i="3"/>
  <c r="H5" i="3"/>
  <c r="I7" i="4"/>
  <c r="J6" i="4"/>
  <c r="J4" i="4"/>
  <c r="I5" i="4"/>
  <c r="W11" i="4" l="1"/>
  <c r="W4" i="4" s="1"/>
  <c r="C6" i="4"/>
  <c r="P4" i="4"/>
  <c r="O4" i="4"/>
  <c r="I5" i="3"/>
  <c r="I11" i="3"/>
  <c r="I9" i="4"/>
  <c r="B10" i="4"/>
  <c r="P6" i="4"/>
  <c r="O5" i="4"/>
  <c r="O7" i="4"/>
  <c r="O6" i="4"/>
  <c r="H27" i="5"/>
  <c r="I27" i="5"/>
  <c r="C4" i="4"/>
  <c r="C8" i="4"/>
  <c r="H27" i="3"/>
  <c r="J7" i="4"/>
  <c r="J5" i="4"/>
  <c r="O9" i="4" l="1"/>
  <c r="R6" i="4"/>
  <c r="S6" i="4" s="1"/>
  <c r="T6" i="4"/>
  <c r="R7" i="4"/>
  <c r="T7" i="4"/>
  <c r="R5" i="4"/>
  <c r="T5" i="4"/>
  <c r="R4" i="4"/>
  <c r="S4" i="4" s="1"/>
  <c r="T4" i="4"/>
  <c r="D6" i="4"/>
  <c r="P7" i="4"/>
  <c r="I27" i="3"/>
  <c r="C10" i="4"/>
  <c r="D8" i="4"/>
  <c r="S7" i="4" l="1"/>
  <c r="D10" i="4"/>
  <c r="P5" i="4"/>
  <c r="P9" i="4" s="1"/>
  <c r="J9" i="4"/>
  <c r="S5" i="4" l="1"/>
  <c r="S9" i="4" s="1"/>
  <c r="R9" i="4"/>
</calcChain>
</file>

<file path=xl/sharedStrings.xml><?xml version="1.0" encoding="utf-8"?>
<sst xmlns="http://schemas.openxmlformats.org/spreadsheetml/2006/main" count="105" uniqueCount="51">
  <si>
    <t>合　計</t>
    <rPh sb="0" eb="1">
      <t>ア</t>
    </rPh>
    <rPh sb="2" eb="3">
      <t>ケイ</t>
    </rPh>
    <phoneticPr fontId="5"/>
  </si>
  <si>
    <t>合　計</t>
    <phoneticPr fontId="2"/>
  </si>
  <si>
    <t>＜商品テーブル＞</t>
    <rPh sb="1" eb="3">
      <t>ショウヒン</t>
    </rPh>
    <phoneticPr fontId="2"/>
  </si>
  <si>
    <t>商ＣＯ</t>
    <rPh sb="0" eb="1">
      <t>ショウ</t>
    </rPh>
    <phoneticPr fontId="2"/>
  </si>
  <si>
    <t>商品名</t>
    <rPh sb="0" eb="3">
      <t>ショウヒンメイ</t>
    </rPh>
    <phoneticPr fontId="2"/>
  </si>
  <si>
    <t>原価</t>
    <rPh sb="0" eb="2">
      <t>ゲンカ</t>
    </rPh>
    <phoneticPr fontId="2"/>
  </si>
  <si>
    <t>＜販売先テーブル＞</t>
    <rPh sb="1" eb="3">
      <t>ハンバイ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</si>
  <si>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</si>
  <si>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</si>
  <si>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</si>
  <si>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</si>
  <si>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</si>
  <si>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定価</t>
    <rPh sb="0" eb="2">
      <t>テイカ</t>
    </rPh>
    <phoneticPr fontId="2"/>
  </si>
  <si>
    <t>判定</t>
    <rPh sb="0" eb="2">
      <t>ハンテイ</t>
    </rPh>
    <phoneticPr fontId="2"/>
  </si>
  <si>
    <t>商品別集計表</t>
    <rPh sb="0" eb="2">
      <t>ショウヒン</t>
    </rPh>
    <rPh sb="2" eb="3">
      <t>ベツ</t>
    </rPh>
    <rPh sb="3" eb="5">
      <t>シュウケイ</t>
    </rPh>
    <rPh sb="5" eb="6">
      <t>オモテ</t>
    </rPh>
    <phoneticPr fontId="2"/>
  </si>
  <si>
    <t>請求額</t>
    <rPh sb="0" eb="2">
      <t>セイキュウ</t>
    </rPh>
    <rPh sb="2" eb="3">
      <t>ガク</t>
    </rPh>
    <phoneticPr fontId="2"/>
  </si>
  <si>
    <t>割引額</t>
    <rPh sb="0" eb="2">
      <t>ワリビキ</t>
    </rPh>
    <rPh sb="2" eb="3">
      <t>ガク</t>
    </rPh>
    <phoneticPr fontId="2"/>
  </si>
  <si>
    <t>割引率</t>
    <rPh sb="0" eb="2">
      <t>ワリビキ</t>
    </rPh>
    <rPh sb="2" eb="3">
      <t>リツ</t>
    </rPh>
    <phoneticPr fontId="2"/>
  </si>
  <si>
    <t>販　売　先　別　請　求　額　計　算　表</t>
    <rPh sb="0" eb="1">
      <t>ハン</t>
    </rPh>
    <rPh sb="2" eb="3">
      <t>バイ</t>
    </rPh>
    <rPh sb="4" eb="5">
      <t>サキ</t>
    </rPh>
    <rPh sb="6" eb="7">
      <t>ベツ</t>
    </rPh>
    <rPh sb="8" eb="9">
      <t>ショウ</t>
    </rPh>
    <rPh sb="10" eb="11">
      <t>モトム</t>
    </rPh>
    <rPh sb="12" eb="13">
      <t>ガク</t>
    </rPh>
    <rPh sb="14" eb="15">
      <t>ケイ</t>
    </rPh>
    <rPh sb="16" eb="17">
      <t>サン</t>
    </rPh>
    <rPh sb="18" eb="19">
      <t>ヒョウ</t>
    </rPh>
    <phoneticPr fontId="2"/>
  </si>
  <si>
    <t>販売額</t>
    <rPh sb="0" eb="3">
      <t>ハンバイガク</t>
    </rPh>
    <phoneticPr fontId="2"/>
  </si>
  <si>
    <t>見込利益率</t>
    <rPh sb="0" eb="2">
      <t>ミコミ</t>
    </rPh>
    <rPh sb="2" eb="4">
      <t>リエキ</t>
    </rPh>
    <rPh sb="4" eb="5">
      <t>リツ</t>
    </rPh>
    <phoneticPr fontId="2"/>
  </si>
  <si>
    <t>＜見込利益率表＞</t>
    <rPh sb="1" eb="3">
      <t>ミコミ</t>
    </rPh>
    <rPh sb="3" eb="5">
      <t>リエキ</t>
    </rPh>
    <rPh sb="5" eb="6">
      <t>リツ</t>
    </rPh>
    <rPh sb="6" eb="7">
      <t>ヒョウ</t>
    </rPh>
    <phoneticPr fontId="2"/>
  </si>
  <si>
    <t>経費</t>
    <phoneticPr fontId="2"/>
  </si>
  <si>
    <t>経費</t>
    <rPh sb="0" eb="2">
      <t>ケイヒ</t>
    </rPh>
    <phoneticPr fontId="2"/>
  </si>
  <si>
    <t>＜経費率表＞</t>
    <rPh sb="1" eb="3">
      <t>ケイヒ</t>
    </rPh>
    <rPh sb="3" eb="4">
      <t>リツ</t>
    </rPh>
    <rPh sb="4" eb="5">
      <t>ヒョウ</t>
    </rPh>
    <phoneticPr fontId="2"/>
  </si>
  <si>
    <t>前月販売数</t>
    <rPh sb="0" eb="2">
      <t>ゼンゲツ</t>
    </rPh>
    <rPh sb="2" eb="4">
      <t>ハンバイ</t>
    </rPh>
    <rPh sb="4" eb="5">
      <t>スウ</t>
    </rPh>
    <phoneticPr fontId="2"/>
  </si>
  <si>
    <t>Ａ商品</t>
    <rPh sb="1" eb="3">
      <t>ショウヒン</t>
    </rPh>
    <phoneticPr fontId="2"/>
  </si>
  <si>
    <t>Ｂ商品</t>
    <rPh sb="1" eb="3">
      <t>ショウヒン</t>
    </rPh>
    <phoneticPr fontId="2"/>
  </si>
  <si>
    <t>Ｃ商品</t>
    <rPh sb="1" eb="3">
      <t>ショウヒン</t>
    </rPh>
    <phoneticPr fontId="2"/>
  </si>
  <si>
    <t>Ｄ商品</t>
    <rPh sb="1" eb="3">
      <t>ショウヒン</t>
    </rPh>
    <phoneticPr fontId="2"/>
  </si>
  <si>
    <t>Ｅ商品</t>
    <rPh sb="1" eb="3">
      <t>ショウヒン</t>
    </rPh>
    <phoneticPr fontId="2"/>
  </si>
  <si>
    <t>Ｆ商品</t>
    <rPh sb="1" eb="3">
      <t>ショウヒン</t>
    </rPh>
    <phoneticPr fontId="2"/>
  </si>
  <si>
    <t>７月前期</t>
    <rPh sb="1" eb="2">
      <t>ガツ</t>
    </rPh>
    <rPh sb="2" eb="4">
      <t>ゼンキ</t>
    </rPh>
    <phoneticPr fontId="2"/>
  </si>
  <si>
    <t>７月後期</t>
    <rPh sb="1" eb="2">
      <t>ガツ</t>
    </rPh>
    <rPh sb="2" eb="4">
      <t>コウキ</t>
    </rPh>
    <phoneticPr fontId="2"/>
  </si>
  <si>
    <t>７月全期間</t>
    <rPh sb="1" eb="2">
      <t>ガツ</t>
    </rPh>
    <rPh sb="2" eb="5">
      <t>ゼンキカン</t>
    </rPh>
    <phoneticPr fontId="2"/>
  </si>
  <si>
    <t>長谷川商事</t>
    <rPh sb="0" eb="3">
      <t>ハセガワ</t>
    </rPh>
    <rPh sb="3" eb="5">
      <t>ショウジ</t>
    </rPh>
    <phoneticPr fontId="2"/>
  </si>
  <si>
    <t>新生百貨店</t>
    <rPh sb="0" eb="1">
      <t>シン</t>
    </rPh>
    <rPh sb="1" eb="2">
      <t>セイ</t>
    </rPh>
    <rPh sb="2" eb="5">
      <t>ヒャッカテン</t>
    </rPh>
    <phoneticPr fontId="2"/>
  </si>
  <si>
    <t>ＪＫストア</t>
    <phoneticPr fontId="2"/>
  </si>
  <si>
    <t>アサヒ総業</t>
    <rPh sb="3" eb="5">
      <t>ソウギョウ</t>
    </rPh>
    <phoneticPr fontId="2"/>
  </si>
  <si>
    <t>達成指数</t>
    <rPh sb="0" eb="2">
      <t>タッセイ</t>
    </rPh>
    <rPh sb="2" eb="4">
      <t>シスウ</t>
    </rPh>
    <phoneticPr fontId="2"/>
  </si>
  <si>
    <t>販売数</t>
    <rPh sb="0" eb="3">
      <t>ハンバイスウ</t>
    </rPh>
    <phoneticPr fontId="9"/>
  </si>
  <si>
    <t>&gt;150</t>
    <phoneticPr fontId="9"/>
  </si>
  <si>
    <t>&lt;180</t>
    <phoneticPr fontId="9"/>
  </si>
  <si>
    <t>商品名</t>
    <rPh sb="0" eb="3">
      <t>ショウヒンメイ</t>
    </rPh>
    <phoneticPr fontId="9"/>
  </si>
  <si>
    <t>&lt;&gt;Ｂ商品</t>
    <rPh sb="3" eb="5">
      <t>ショウヒン</t>
    </rPh>
    <phoneticPr fontId="9"/>
  </si>
  <si>
    <t>値引額</t>
    <rPh sb="0" eb="3">
      <t>ネビキガク</t>
    </rPh>
    <phoneticPr fontId="9"/>
  </si>
  <si>
    <t>&gt;30000</t>
    <phoneticPr fontId="9"/>
  </si>
  <si>
    <t>Ｂ商品以外で値引額が30,000円より多い件数</t>
    <rPh sb="1" eb="3">
      <t>ショウヒン</t>
    </rPh>
    <rPh sb="3" eb="5">
      <t>イガイ</t>
    </rPh>
    <rPh sb="6" eb="9">
      <t>ネビキガク</t>
    </rPh>
    <rPh sb="16" eb="17">
      <t>エン</t>
    </rPh>
    <rPh sb="19" eb="20">
      <t>オオ</t>
    </rPh>
    <rPh sb="21" eb="23">
      <t>ケンスウ</t>
    </rPh>
    <phoneticPr fontId="9"/>
  </si>
  <si>
    <t>販売額</t>
    <rPh sb="0" eb="2">
      <t>ハンバイ</t>
    </rPh>
    <rPh sb="2" eb="3">
      <t>ガク</t>
    </rPh>
    <phoneticPr fontId="9"/>
  </si>
  <si>
    <t>販売額が最大の商品名</t>
    <rPh sb="0" eb="3">
      <t>ハンバイガク</t>
    </rPh>
    <rPh sb="4" eb="6">
      <t>サイダイ</t>
    </rPh>
    <rPh sb="7" eb="9">
      <t>ショウヒン</t>
    </rPh>
    <rPh sb="9" eb="10">
      <t>メイ</t>
    </rPh>
    <phoneticPr fontId="9"/>
  </si>
  <si>
    <t>販売数が150超180未満の値引額の合計</t>
    <rPh sb="0" eb="3">
      <t>ハンバイスウ</t>
    </rPh>
    <rPh sb="7" eb="8">
      <t>チョウ</t>
    </rPh>
    <rPh sb="11" eb="13">
      <t>ミマン</t>
    </rPh>
    <rPh sb="14" eb="17">
      <t>ネビキガク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</si>
</sst>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4" xfId="2" applyFont="1" applyBorder="1">
      <alignment vertical="center"/>
    </xf>
    <xf numFmtId="38" fontId="4" fillId="0" borderId="2" xfId="2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6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4" fillId="0" borderId="0" xfId="0" applyNumberFormat="1" applyFont="1">
      <alignment vertical="center"/>
    </xf>
    <xf numFmtId="0" fontId="0" fillId="0" borderId="8" xfId="0" applyBorder="1">
      <alignment vertical="center"/>
    </xf>
    <xf numFmtId="0" fontId="7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7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6" fillId="0" borderId="2" xfId="0" applyNumberFormat="1" applyFont="1" applyBorder="1" applyAlignment="1">
      <alignment horizontal="right" vertical="center"/>
    </xf>
    <xf numFmtId="38" fontId="6" fillId="0" borderId="2" xfId="2" applyFont="1" applyFill="1" applyBorder="1">
      <alignment vertical="center"/>
    </xf>
    <xf numFmtId="38" fontId="4" fillId="0" borderId="2" xfId="2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>
      <alignment vertical="center"/>
    </xf>
    <xf numFmtId="38" fontId="4" fillId="0" borderId="6" xfId="2" applyFont="1" applyFill="1" applyBorder="1">
      <alignment vertical="center"/>
    </xf>
    <xf numFmtId="38" fontId="4" fillId="0" borderId="7" xfId="2" applyFont="1" applyFill="1" applyBorder="1">
      <alignment vertical="center"/>
    </xf>
    <xf numFmtId="38" fontId="0" fillId="0" borderId="4" xfId="2" applyFont="1" applyBorder="1">
      <alignment vertical="center"/>
    </xf>
    <xf numFmtId="176" fontId="4" fillId="0" borderId="0" xfId="0" applyNumberFormat="1" applyFo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38" fontId="6" fillId="0" borderId="4" xfId="2" applyFont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1" fillId="0" borderId="17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7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6" fillId="0" borderId="2" xfId="2" applyFont="1" applyBorder="1">
      <alignment vertical="center"/>
    </xf>
    <xf numFmtId="176" fontId="6" fillId="0" borderId="2" xfId="1" applyNumberFormat="1" applyFont="1" applyBorder="1">
      <alignment vertical="center"/>
    </xf>
    <xf numFmtId="9" fontId="6" fillId="0" borderId="2" xfId="0" applyNumberFormat="1" applyFont="1" applyBorder="1">
      <alignment vertical="center"/>
    </xf>
    <xf numFmtId="176" fontId="4" fillId="0" borderId="2" xfId="1" applyNumberFormat="1" applyFont="1" applyBorder="1">
      <alignment vertical="center"/>
    </xf>
    <xf numFmtId="38" fontId="6" fillId="0" borderId="2" xfId="0" applyNumberFormat="1" applyFont="1" applyBorder="1">
      <alignment vertical="center"/>
    </xf>
    <xf numFmtId="9" fontId="4" fillId="0" borderId="0" xfId="0" applyNumberFormat="1" applyFont="1">
      <alignment vertical="center"/>
    </xf>
    <xf numFmtId="0" fontId="4" fillId="0" borderId="2" xfId="1" applyNumberFormat="1" applyFont="1" applyBorder="1">
      <alignment vertical="center"/>
    </xf>
    <xf numFmtId="0" fontId="6" fillId="0" borderId="9" xfId="0" applyFont="1" applyBorder="1">
      <alignment vertical="center"/>
    </xf>
    <xf numFmtId="38" fontId="0" fillId="0" borderId="10" xfId="2" applyFont="1" applyBorder="1">
      <alignment vertical="center"/>
    </xf>
    <xf numFmtId="3" fontId="0" fillId="0" borderId="0" xfId="0" applyNumberFormat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38" fontId="0" fillId="0" borderId="7" xfId="2" applyFont="1" applyBorder="1">
      <alignment vertical="center"/>
    </xf>
    <xf numFmtId="4" fontId="0" fillId="0" borderId="0" xfId="0" applyNumberFormat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0" fillId="0" borderId="8" xfId="2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28-4F28-930B-C189F6F40BA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28-4F28-930B-C189F6F40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04064"/>
        <c:axId val="63305600"/>
      </c:barChart>
      <c:catAx>
        <c:axId val="6330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5600"/>
        <c:crosses val="autoZero"/>
        <c:auto val="1"/>
        <c:lblAlgn val="ctr"/>
        <c:lblOffset val="100"/>
        <c:noMultiLvlLbl val="0"/>
      </c:catAx>
      <c:valAx>
        <c:axId val="63305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40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87224669603523"/>
          <c:y val="0"/>
          <c:w val="0.23348017621145375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65-4BD2-BBC6-C3275AE4DBAF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C65-4BD2-BBC6-C3275AE4D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27232"/>
        <c:axId val="63361792"/>
      </c:barChart>
      <c:catAx>
        <c:axId val="633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61792"/>
        <c:crosses val="autoZero"/>
        <c:auto val="1"/>
        <c:lblAlgn val="ctr"/>
        <c:lblOffset val="100"/>
        <c:noMultiLvlLbl val="0"/>
      </c:catAx>
      <c:valAx>
        <c:axId val="6336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27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ADF-4458-BB3D-78A32BFC771D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ADF-4458-BB3D-78A32BFC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008128"/>
        <c:axId val="103009664"/>
      </c:barChart>
      <c:catAx>
        <c:axId val="1030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9664"/>
        <c:crosses val="autoZero"/>
        <c:auto val="1"/>
        <c:lblAlgn val="ctr"/>
        <c:lblOffset val="100"/>
        <c:noMultiLvlLbl val="0"/>
      </c:catAx>
      <c:valAx>
        <c:axId val="1030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8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2-4BC1-97D4-3115EFE9A90E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62-4BC1-97D4-3115EFE9A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269120"/>
        <c:axId val="103270656"/>
      </c:barChart>
      <c:catAx>
        <c:axId val="1032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70656"/>
        <c:crosses val="autoZero"/>
        <c:auto val="1"/>
        <c:lblAlgn val="ctr"/>
        <c:lblOffset val="100"/>
        <c:noMultiLvlLbl val="0"/>
      </c:catAx>
      <c:valAx>
        <c:axId val="10327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69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4214046822745"/>
          <c:y val="0"/>
          <c:w val="0.17725752508361203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100" baseline="0">
                <a:ea typeface="ＭＳ 明朝" panose="02020609040205080304" pitchFamily="17" charset="-128"/>
              </a:rPr>
              <a:t>販売先別の比較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計算表!$S$3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計算表!$G$4:$G$7</c:f>
              <c:strCache>
                <c:ptCount val="4"/>
                <c:pt idx="0">
                  <c:v>長谷川商事</c:v>
                </c:pt>
                <c:pt idx="1">
                  <c:v>新生百貨店</c:v>
                </c:pt>
                <c:pt idx="2">
                  <c:v>ＪＫストア</c:v>
                </c:pt>
                <c:pt idx="3">
                  <c:v>アサヒ総業</c:v>
                </c:pt>
              </c:strCache>
            </c:strRef>
          </c:cat>
          <c:val>
            <c:numRef>
              <c:f>計算表!$S$4:$S$7</c:f>
              <c:numCache>
                <c:formatCode>#,##0_);[Red]\(#,##0\)</c:formatCode>
                <c:ptCount val="4"/>
                <c:pt idx="0">
                  <c:v>3864922</c:v>
                </c:pt>
                <c:pt idx="1">
                  <c:v>3722958</c:v>
                </c:pt>
                <c:pt idx="2">
                  <c:v>4058282</c:v>
                </c:pt>
                <c:pt idx="3">
                  <c:v>4141178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29758048"/>
        <c:axId val="1029761888"/>
      </c:barChart>
      <c:lineChart>
        <c:grouping val="standard"/>
        <c:varyColors val="0"/>
        <c:ser>
          <c:idx val="0"/>
          <c:order val="0"/>
          <c:tx>
            <c:strRef>
              <c:f>計算表!$N$3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計算表!$G$4:$G$7</c:f>
              <c:strCache>
                <c:ptCount val="4"/>
                <c:pt idx="0">
                  <c:v>長谷川商事</c:v>
                </c:pt>
                <c:pt idx="1">
                  <c:v>新生百貨店</c:v>
                </c:pt>
                <c:pt idx="2">
                  <c:v>ＪＫストア</c:v>
                </c:pt>
                <c:pt idx="3">
                  <c:v>アサヒ総業</c:v>
                </c:pt>
              </c:strCache>
            </c:strRef>
          </c:cat>
          <c:val>
            <c:numRef>
              <c:f>計算表!$N$4:$N$7</c:f>
              <c:numCache>
                <c:formatCode>#,##0_);[Red]\(#,##0\)</c:formatCode>
                <c:ptCount val="4"/>
                <c:pt idx="0">
                  <c:v>1666</c:v>
                </c:pt>
                <c:pt idx="1">
                  <c:v>1578</c:v>
                </c:pt>
                <c:pt idx="2">
                  <c:v>1739</c:v>
                </c:pt>
                <c:pt idx="3">
                  <c:v>1802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099720"/>
        <c:axId val="620102016"/>
      </c:lineChart>
      <c:catAx>
        <c:axId val="62009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102016"/>
        <c:crosses val="autoZero"/>
        <c:auto val="1"/>
        <c:lblAlgn val="ctr"/>
        <c:lblOffset val="100"/>
        <c:noMultiLvlLbl val="0"/>
      </c:catAx>
      <c:valAx>
        <c:axId val="6201020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099720"/>
        <c:crosses val="autoZero"/>
        <c:crossBetween val="between"/>
      </c:valAx>
      <c:valAx>
        <c:axId val="102976188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029758048"/>
        <c:crosses val="max"/>
        <c:crossBetween val="between"/>
      </c:valAx>
      <c:catAx>
        <c:axId val="102975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976188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049" name="グラフ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4097" name="グラフ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6145" name="グラフ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223836</xdr:colOff>
      <xdr:row>16</xdr:row>
      <xdr:rowOff>38100</xdr:rowOff>
    </xdr:from>
    <xdr:to>
      <xdr:col>18</xdr:col>
      <xdr:colOff>447674</xdr:colOff>
      <xdr:row>32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BED041-83C8-8610-DCFE-24BA84FE0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4.875" style="1" customWidth="1"/>
    <col min="5" max="5" width="7.5" style="1" customWidth="1"/>
    <col min="6" max="7" width="11.625" style="1" bestFit="1" customWidth="1"/>
    <col min="8" max="8" width="7.5" style="1" bestFit="1" customWidth="1"/>
    <col min="9" max="9" width="4.875" style="1" customWidth="1"/>
    <col min="10" max="10" width="7.5" style="1" bestFit="1" customWidth="1"/>
    <col min="11" max="11" width="11.625" style="1" bestFit="1" customWidth="1"/>
    <col min="12" max="12" width="4.875" style="1" customWidth="1"/>
    <col min="13" max="13" width="8.5" style="1" customWidth="1"/>
    <col min="14" max="18" width="5.5" style="1" bestFit="1" customWidth="1"/>
    <col min="19" max="19" width="4" style="1" customWidth="1"/>
    <col min="20" max="16384" width="9" style="1"/>
  </cols>
  <sheetData>
    <row r="1" spans="1:19">
      <c r="A1" t="s">
        <v>2</v>
      </c>
      <c r="E1" t="s">
        <v>6</v>
      </c>
      <c r="J1" t="s">
        <v>21</v>
      </c>
      <c r="M1" t="s">
        <v>24</v>
      </c>
    </row>
    <row r="2" spans="1:19">
      <c r="A2" s="14" t="s">
        <v>3</v>
      </c>
      <c r="B2" s="14" t="s">
        <v>4</v>
      </c>
      <c r="C2" s="14" t="s">
        <v>5</v>
      </c>
      <c r="E2" s="14" t="s">
        <v>7</v>
      </c>
      <c r="F2" s="14" t="s">
        <v>8</v>
      </c>
      <c r="G2" s="22" t="s">
        <v>25</v>
      </c>
      <c r="H2" s="22" t="s">
        <v>17</v>
      </c>
      <c r="J2" s="2" t="s">
        <v>9</v>
      </c>
      <c r="K2" s="14" t="s">
        <v>20</v>
      </c>
      <c r="M2" s="69" t="s">
        <v>19</v>
      </c>
      <c r="N2" s="69" t="s">
        <v>9</v>
      </c>
      <c r="O2" s="69"/>
      <c r="P2" s="69"/>
      <c r="Q2" s="69"/>
      <c r="R2" s="69"/>
    </row>
    <row r="3" spans="1:19">
      <c r="A3" s="4">
        <v>11</v>
      </c>
      <c r="B3" s="26" t="s">
        <v>26</v>
      </c>
      <c r="C3" s="51">
        <v>1687</v>
      </c>
      <c r="E3" s="4">
        <v>101</v>
      </c>
      <c r="F3" s="26" t="s">
        <v>35</v>
      </c>
      <c r="G3" s="51">
        <v>1745</v>
      </c>
      <c r="H3" s="52">
        <v>4.8000000000000001E-2</v>
      </c>
      <c r="J3" s="26">
        <v>1</v>
      </c>
      <c r="K3" s="53">
        <v>0.28999999999999998</v>
      </c>
      <c r="M3" s="69"/>
      <c r="N3" s="26">
        <v>1</v>
      </c>
      <c r="O3" s="26">
        <v>90</v>
      </c>
      <c r="P3" s="26">
        <v>130</v>
      </c>
      <c r="Q3" s="26">
        <v>160</v>
      </c>
      <c r="R3" s="26">
        <v>190</v>
      </c>
    </row>
    <row r="4" spans="1:19">
      <c r="A4" s="4">
        <v>12</v>
      </c>
      <c r="B4" s="26" t="s">
        <v>27</v>
      </c>
      <c r="C4" s="51">
        <v>2315</v>
      </c>
      <c r="E4" s="4">
        <v>102</v>
      </c>
      <c r="F4" s="26" t="s">
        <v>36</v>
      </c>
      <c r="G4" s="51">
        <v>1467</v>
      </c>
      <c r="H4" s="52">
        <v>4.5999999999999999E-2</v>
      </c>
      <c r="J4" s="26">
        <v>110</v>
      </c>
      <c r="K4" s="53">
        <v>0.28000000000000003</v>
      </c>
      <c r="M4" s="51">
        <v>1</v>
      </c>
      <c r="N4" s="54">
        <v>0.06</v>
      </c>
      <c r="O4" s="54">
        <v>5.7999999999999996E-2</v>
      </c>
      <c r="P4" s="54">
        <v>5.5999999999999994E-2</v>
      </c>
      <c r="Q4" s="54">
        <v>5.3999999999999992E-2</v>
      </c>
      <c r="R4" s="54">
        <v>5.1999999999999991E-2</v>
      </c>
      <c r="S4" s="37"/>
    </row>
    <row r="5" spans="1:19">
      <c r="A5" s="4">
        <v>13</v>
      </c>
      <c r="B5" s="26" t="s">
        <v>28</v>
      </c>
      <c r="C5" s="51">
        <v>1851</v>
      </c>
      <c r="E5" s="4">
        <v>103</v>
      </c>
      <c r="F5" s="26" t="s">
        <v>37</v>
      </c>
      <c r="G5" s="51">
        <v>1812</v>
      </c>
      <c r="H5" s="52">
        <v>4.9000000000000002E-2</v>
      </c>
      <c r="J5" s="26">
        <v>170</v>
      </c>
      <c r="K5" s="53">
        <v>0.27</v>
      </c>
      <c r="M5" s="51">
        <v>220000</v>
      </c>
      <c r="N5" s="54">
        <v>5.2999999999999992E-2</v>
      </c>
      <c r="O5" s="54">
        <v>5.099999999999999E-2</v>
      </c>
      <c r="P5" s="54">
        <v>4.9000000000000002E-2</v>
      </c>
      <c r="Q5" s="54">
        <v>4.7E-2</v>
      </c>
      <c r="R5" s="54">
        <v>4.4999999999999998E-2</v>
      </c>
      <c r="S5" s="37"/>
    </row>
    <row r="6" spans="1:19">
      <c r="A6" s="4">
        <v>14</v>
      </c>
      <c r="B6" s="26" t="s">
        <v>29</v>
      </c>
      <c r="C6" s="51">
        <v>2214</v>
      </c>
      <c r="E6" s="4">
        <v>104</v>
      </c>
      <c r="F6" s="26" t="s">
        <v>38</v>
      </c>
      <c r="G6" s="51">
        <v>1746</v>
      </c>
      <c r="H6" s="52">
        <v>4.7E-2</v>
      </c>
      <c r="M6" s="51">
        <v>320000</v>
      </c>
      <c r="N6" s="54">
        <v>4.5999999999999999E-2</v>
      </c>
      <c r="O6" s="54">
        <v>4.3999999999999997E-2</v>
      </c>
      <c r="P6" s="54">
        <v>4.1999999999999996E-2</v>
      </c>
      <c r="Q6" s="54">
        <v>3.9999999999999994E-2</v>
      </c>
      <c r="R6" s="54">
        <v>3.7999999999999992E-2</v>
      </c>
      <c r="S6" s="37"/>
    </row>
    <row r="7" spans="1:19">
      <c r="A7" s="4">
        <v>15</v>
      </c>
      <c r="B7" s="26" t="s">
        <v>30</v>
      </c>
      <c r="C7" s="51">
        <v>1792</v>
      </c>
      <c r="M7" s="51">
        <v>420000</v>
      </c>
      <c r="N7" s="54">
        <v>3.8999999999999993E-2</v>
      </c>
      <c r="O7" s="54">
        <v>3.7000000000000005E-2</v>
      </c>
      <c r="P7" s="54">
        <v>3.5000000000000003E-2</v>
      </c>
      <c r="Q7" s="54">
        <v>3.3000000000000002E-2</v>
      </c>
      <c r="R7" s="54">
        <v>3.1E-2</v>
      </c>
      <c r="S7" s="37"/>
    </row>
    <row r="8" spans="1:19">
      <c r="A8" s="4">
        <v>16</v>
      </c>
      <c r="B8" s="26" t="s">
        <v>31</v>
      </c>
      <c r="C8" s="51">
        <v>2036</v>
      </c>
    </row>
    <row r="9" spans="1:19">
      <c r="H9" s="23"/>
    </row>
  </sheetData>
  <sortState xmlns:xlrd2="http://schemas.microsoft.com/office/spreadsheetml/2017/richdata2" ref="K10:K12">
    <sortCondition ref="K10:K12"/>
  </sortState>
  <mergeCells count="2">
    <mergeCell ref="M2:M3"/>
    <mergeCell ref="N2:R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8" width="10.5" style="1" bestFit="1" customWidth="1"/>
    <col min="9" max="9" width="8.5" style="1" bestFit="1" customWidth="1"/>
    <col min="10" max="16384" width="9" style="1"/>
  </cols>
  <sheetData>
    <row r="1" spans="1:11">
      <c r="A1" s="12" t="s">
        <v>3</v>
      </c>
      <c r="B1" s="27" t="s">
        <v>4</v>
      </c>
      <c r="C1" s="27" t="s">
        <v>7</v>
      </c>
      <c r="D1" s="27" t="s">
        <v>8</v>
      </c>
      <c r="E1" s="27" t="s">
        <v>9</v>
      </c>
      <c r="F1" s="27" t="s">
        <v>12</v>
      </c>
      <c r="G1" s="27" t="s">
        <v>11</v>
      </c>
      <c r="H1" s="27" t="s">
        <v>10</v>
      </c>
      <c r="I1" s="28" t="s">
        <v>23</v>
      </c>
    </row>
    <row r="2" spans="1:11">
      <c r="A2" s="3">
        <v>11</v>
      </c>
      <c r="B2" s="15" t="str">
        <f>VLOOKUP(A2,テーブル!$A$3:$C$8,2,0)</f>
        <v>Ａ商品</v>
      </c>
      <c r="C2" s="4">
        <v>101</v>
      </c>
      <c r="D2" s="4" t="str">
        <f>VLOOKUP(C2,テーブル!$E$3:$H$6,2,0)</f>
        <v>長谷川商事</v>
      </c>
      <c r="E2" s="55">
        <v>132</v>
      </c>
      <c r="F2" s="29">
        <f>ROUNDDOWN(VLOOKUP(A2,テーブル!$A$3:$C$8,3,0)*(1+VLOOKUP(E2,テーブル!$J$3:$K$5,2,1)),-1)</f>
        <v>2150</v>
      </c>
      <c r="G2" s="30">
        <f t="shared" ref="G2:G25" si="0">ROUNDUP(IF(OR(E2&gt;=180,F2&gt;=2800),F2*E2*7.6%,F2*E2*6.4%),-1)</f>
        <v>18170</v>
      </c>
      <c r="H2" s="30">
        <f t="shared" ref="H2:H25" si="1">F2*E2-G2</f>
        <v>265630</v>
      </c>
      <c r="I2" s="36">
        <f>ROUNDUP(H2*INDEX(テーブル!$N$4:$R$7,MATCH(H2,テーブル!$M$4:$M$7,1),MATCH(E2,テーブル!$N$3:$R$3,1)),0)</f>
        <v>13016</v>
      </c>
      <c r="K2" s="37"/>
    </row>
    <row r="3" spans="1:11">
      <c r="A3" s="3">
        <v>11</v>
      </c>
      <c r="B3" s="15" t="str">
        <f>VLOOKUP(A3,テーブル!$A$3:$C$8,2,0)</f>
        <v>Ａ商品</v>
      </c>
      <c r="C3" s="4">
        <v>102</v>
      </c>
      <c r="D3" s="4" t="str">
        <f>VLOOKUP(C3,テーブル!$E$3:$H$6,2,0)</f>
        <v>新生百貨店</v>
      </c>
      <c r="E3" s="55">
        <v>99</v>
      </c>
      <c r="F3" s="29">
        <f>ROUNDDOWN(VLOOKUP(A3,テーブル!$A$3:$C$8,3,0)*(1+VLOOKUP(E3,テーブル!$J$3:$K$5,2,1)),-1)</f>
        <v>2170</v>
      </c>
      <c r="G3" s="30">
        <f t="shared" si="0"/>
        <v>13750</v>
      </c>
      <c r="H3" s="30">
        <f t="shared" si="1"/>
        <v>201080</v>
      </c>
      <c r="I3" s="36">
        <f>ROUNDUP(H3*INDEX(テーブル!$N$4:$R$7,MATCH(H3,テーブル!$M$4:$M$7,1),MATCH(E3,テーブル!$N$3:$R$3,1)),0)</f>
        <v>11663</v>
      </c>
      <c r="K3" s="56"/>
    </row>
    <row r="4" spans="1:11">
      <c r="A4" s="3">
        <v>11</v>
      </c>
      <c r="B4" s="15" t="str">
        <f>VLOOKUP(A4,テーブル!$A$3:$C$8,2,0)</f>
        <v>Ａ商品</v>
      </c>
      <c r="C4" s="4">
        <v>103</v>
      </c>
      <c r="D4" s="4" t="str">
        <f>VLOOKUP(C4,テーブル!$E$3:$H$6,2,0)</f>
        <v>ＪＫストア</v>
      </c>
      <c r="E4" s="55">
        <v>192</v>
      </c>
      <c r="F4" s="29">
        <f>ROUNDDOWN(VLOOKUP(A4,テーブル!$A$3:$C$8,3,0)*(1+VLOOKUP(E4,テーブル!$J$3:$K$5,2,1)),-1)</f>
        <v>2140</v>
      </c>
      <c r="G4" s="30">
        <f t="shared" si="0"/>
        <v>31230</v>
      </c>
      <c r="H4" s="31">
        <f t="shared" si="1"/>
        <v>379650</v>
      </c>
      <c r="I4" s="36">
        <f>ROUNDUP(H4*INDEX(テーブル!$N$4:$R$7,MATCH(H4,テーブル!$M$4:$M$7,1),MATCH(E4,テーブル!$N$3:$R$3,1)),0)</f>
        <v>14427</v>
      </c>
    </row>
    <row r="5" spans="1:11">
      <c r="A5" s="3">
        <v>11</v>
      </c>
      <c r="B5" s="15" t="str">
        <f>VLOOKUP(A5,テーブル!$A$3:$C$8,2,0)</f>
        <v>Ａ商品</v>
      </c>
      <c r="C5" s="4">
        <v>104</v>
      </c>
      <c r="D5" s="4" t="str">
        <f>VLOOKUP(C5,テーブル!$E$3:$H$6,2,0)</f>
        <v>アサヒ総業</v>
      </c>
      <c r="E5" s="55">
        <v>162</v>
      </c>
      <c r="F5" s="29">
        <f>ROUNDDOWN(VLOOKUP(A5,テーブル!$A$3:$C$8,3,0)*(1+VLOOKUP(E5,テーブル!$J$3:$K$5,2,1)),-1)</f>
        <v>2150</v>
      </c>
      <c r="G5" s="30">
        <f t="shared" si="0"/>
        <v>22300</v>
      </c>
      <c r="H5" s="30">
        <f t="shared" si="1"/>
        <v>326000</v>
      </c>
      <c r="I5" s="36">
        <f>ROUNDUP(H5*INDEX(テーブル!$N$4:$R$7,MATCH(H5,テーブル!$M$4:$M$7,1),MATCH(E5,テーブル!$N$3:$R$3,1)),0)</f>
        <v>13040</v>
      </c>
    </row>
    <row r="6" spans="1:11">
      <c r="A6" s="3">
        <v>12</v>
      </c>
      <c r="B6" s="15" t="str">
        <f>VLOOKUP(A6,テーブル!$A$3:$C$8,2,0)</f>
        <v>Ｂ商品</v>
      </c>
      <c r="C6" s="4">
        <v>101</v>
      </c>
      <c r="D6" s="4" t="str">
        <f>VLOOKUP(C6,テーブル!$E$3:$H$6,2,0)</f>
        <v>長谷川商事</v>
      </c>
      <c r="E6" s="55">
        <v>88</v>
      </c>
      <c r="F6" s="29">
        <f>ROUNDDOWN(VLOOKUP(A6,テーブル!$A$3:$C$8,3,0)*(1+VLOOKUP(E6,テーブル!$J$3:$K$5,2,1)),-1)</f>
        <v>2980</v>
      </c>
      <c r="G6" s="30">
        <f t="shared" si="0"/>
        <v>19940</v>
      </c>
      <c r="H6" s="30">
        <f t="shared" si="1"/>
        <v>242300</v>
      </c>
      <c r="I6" s="36">
        <f>ROUNDUP(H6*INDEX(テーブル!$N$4:$R$7,MATCH(H6,テーブル!$M$4:$M$7,1),MATCH(E6,テーブル!$N$3:$R$3,1)),0)</f>
        <v>12842</v>
      </c>
    </row>
    <row r="7" spans="1:11">
      <c r="A7" s="3">
        <v>12</v>
      </c>
      <c r="B7" s="15" t="str">
        <f>VLOOKUP(A7,テーブル!$A$3:$C$8,2,0)</f>
        <v>Ｂ商品</v>
      </c>
      <c r="C7" s="4">
        <v>102</v>
      </c>
      <c r="D7" s="4" t="str">
        <f>VLOOKUP(C7,テーブル!$E$3:$H$6,2,0)</f>
        <v>新生百貨店</v>
      </c>
      <c r="E7" s="55">
        <v>142</v>
      </c>
      <c r="F7" s="29">
        <f>ROUNDDOWN(VLOOKUP(A7,テーブル!$A$3:$C$8,3,0)*(1+VLOOKUP(E7,テーブル!$J$3:$K$5,2,1)),-1)</f>
        <v>2960</v>
      </c>
      <c r="G7" s="30">
        <f t="shared" si="0"/>
        <v>31950</v>
      </c>
      <c r="H7" s="30">
        <f t="shared" si="1"/>
        <v>388370</v>
      </c>
      <c r="I7" s="36">
        <f>ROUNDUP(H7*INDEX(テーブル!$N$4:$R$7,MATCH(H7,テーブル!$M$4:$M$7,1),MATCH(E7,テーブル!$N$3:$R$3,1)),0)</f>
        <v>16312</v>
      </c>
    </row>
    <row r="8" spans="1:11">
      <c r="A8" s="3">
        <v>12</v>
      </c>
      <c r="B8" s="15" t="str">
        <f>VLOOKUP(A8,テーブル!$A$3:$C$8,2,0)</f>
        <v>Ｂ商品</v>
      </c>
      <c r="C8" s="4">
        <v>103</v>
      </c>
      <c r="D8" s="4" t="str">
        <f>VLOOKUP(C8,テーブル!$E$3:$H$6,2,0)</f>
        <v>ＪＫストア</v>
      </c>
      <c r="E8" s="55">
        <v>157</v>
      </c>
      <c r="F8" s="29">
        <f>ROUNDDOWN(VLOOKUP(A8,テーブル!$A$3:$C$8,3,0)*(1+VLOOKUP(E8,テーブル!$J$3:$K$5,2,1)),-1)</f>
        <v>2960</v>
      </c>
      <c r="G8" s="30">
        <f t="shared" si="0"/>
        <v>35320</v>
      </c>
      <c r="H8" s="31">
        <f t="shared" si="1"/>
        <v>429400</v>
      </c>
      <c r="I8" s="36">
        <f>ROUNDUP(H8*INDEX(テーブル!$N$4:$R$7,MATCH(H8,テーブル!$M$4:$M$7,1),MATCH(E8,テーブル!$N$3:$R$3,1)),0)</f>
        <v>15029</v>
      </c>
    </row>
    <row r="9" spans="1:11">
      <c r="A9" s="3">
        <v>12</v>
      </c>
      <c r="B9" s="15" t="str">
        <f>VLOOKUP(A9,テーブル!$A$3:$C$8,2,0)</f>
        <v>Ｂ商品</v>
      </c>
      <c r="C9" s="4">
        <v>104</v>
      </c>
      <c r="D9" s="4" t="str">
        <f>VLOOKUP(C9,テーブル!$E$3:$H$6,2,0)</f>
        <v>アサヒ総業</v>
      </c>
      <c r="E9" s="55">
        <v>76</v>
      </c>
      <c r="F9" s="29">
        <f>ROUNDDOWN(VLOOKUP(A9,テーブル!$A$3:$C$8,3,0)*(1+VLOOKUP(E9,テーブル!$J$3:$K$5,2,1)),-1)</f>
        <v>2980</v>
      </c>
      <c r="G9" s="30">
        <f t="shared" si="0"/>
        <v>17220</v>
      </c>
      <c r="H9" s="30">
        <f t="shared" si="1"/>
        <v>209260</v>
      </c>
      <c r="I9" s="36">
        <f>ROUNDUP(H9*INDEX(テーブル!$N$4:$R$7,MATCH(H9,テーブル!$M$4:$M$7,1),MATCH(E9,テーブル!$N$3:$R$3,1)),0)</f>
        <v>12556</v>
      </c>
    </row>
    <row r="10" spans="1:11">
      <c r="A10" s="3">
        <v>13</v>
      </c>
      <c r="B10" s="15" t="str">
        <f>VLOOKUP(A10,テーブル!$A$3:$C$8,2,0)</f>
        <v>Ｃ商品</v>
      </c>
      <c r="C10" s="4">
        <v>101</v>
      </c>
      <c r="D10" s="4" t="str">
        <f>VLOOKUP(C10,テーブル!$E$3:$H$6,2,0)</f>
        <v>長谷川商事</v>
      </c>
      <c r="E10" s="55">
        <v>218</v>
      </c>
      <c r="F10" s="29">
        <f>ROUNDDOWN(VLOOKUP(A10,テーブル!$A$3:$C$8,3,0)*(1+VLOOKUP(E10,テーブル!$J$3:$K$5,2,1)),-1)</f>
        <v>2350</v>
      </c>
      <c r="G10" s="30">
        <f t="shared" si="0"/>
        <v>38940</v>
      </c>
      <c r="H10" s="31">
        <f t="shared" si="1"/>
        <v>473360</v>
      </c>
      <c r="I10" s="36">
        <f>ROUNDUP(H10*INDEX(テーブル!$N$4:$R$7,MATCH(H10,テーブル!$M$4:$M$7,1),MATCH(E10,テーブル!$N$3:$R$3,1)),0)</f>
        <v>14675</v>
      </c>
    </row>
    <row r="11" spans="1:11">
      <c r="A11" s="3">
        <v>13</v>
      </c>
      <c r="B11" s="15" t="str">
        <f>VLOOKUP(A11,テーブル!$A$3:$C$8,2,0)</f>
        <v>Ｃ商品</v>
      </c>
      <c r="C11" s="4">
        <v>102</v>
      </c>
      <c r="D11" s="4" t="str">
        <f>VLOOKUP(C11,テーブル!$E$3:$H$6,2,0)</f>
        <v>新生百貨店</v>
      </c>
      <c r="E11" s="55">
        <v>91</v>
      </c>
      <c r="F11" s="29">
        <f>ROUNDDOWN(VLOOKUP(A11,テーブル!$A$3:$C$8,3,0)*(1+VLOOKUP(E11,テーブル!$J$3:$K$5,2,1)),-1)</f>
        <v>2380</v>
      </c>
      <c r="G11" s="30">
        <f t="shared" si="0"/>
        <v>13870</v>
      </c>
      <c r="H11" s="30">
        <f t="shared" si="1"/>
        <v>202710</v>
      </c>
      <c r="I11" s="36">
        <f>ROUNDUP(H11*INDEX(テーブル!$N$4:$R$7,MATCH(H11,テーブル!$M$4:$M$7,1),MATCH(E11,テーブル!$N$3:$R$3,1)),0)</f>
        <v>11758</v>
      </c>
    </row>
    <row r="12" spans="1:11">
      <c r="A12" s="3">
        <v>13</v>
      </c>
      <c r="B12" s="15" t="str">
        <f>VLOOKUP(A12,テーブル!$A$3:$C$8,2,0)</f>
        <v>Ｃ商品</v>
      </c>
      <c r="C12" s="4">
        <v>103</v>
      </c>
      <c r="D12" s="4" t="str">
        <f>VLOOKUP(C12,テーブル!$E$3:$H$6,2,0)</f>
        <v>ＪＫストア</v>
      </c>
      <c r="E12" s="55">
        <v>149</v>
      </c>
      <c r="F12" s="29">
        <f>ROUNDDOWN(VLOOKUP(A12,テーブル!$A$3:$C$8,3,0)*(1+VLOOKUP(E12,テーブル!$J$3:$K$5,2,1)),-1)</f>
        <v>2360</v>
      </c>
      <c r="G12" s="30">
        <f t="shared" si="0"/>
        <v>22510</v>
      </c>
      <c r="H12" s="30">
        <f t="shared" si="1"/>
        <v>329130</v>
      </c>
      <c r="I12" s="36">
        <f>ROUNDUP(H12*INDEX(テーブル!$N$4:$R$7,MATCH(H12,テーブル!$M$4:$M$7,1),MATCH(E12,テーブル!$N$3:$R$3,1)),0)</f>
        <v>13824</v>
      </c>
    </row>
    <row r="13" spans="1:11">
      <c r="A13" s="3">
        <v>13</v>
      </c>
      <c r="B13" s="15" t="str">
        <f>VLOOKUP(A13,テーブル!$A$3:$C$8,2,0)</f>
        <v>Ｃ商品</v>
      </c>
      <c r="C13" s="4">
        <v>104</v>
      </c>
      <c r="D13" s="4" t="str">
        <f>VLOOKUP(C13,テーブル!$E$3:$H$6,2,0)</f>
        <v>アサヒ総業</v>
      </c>
      <c r="E13" s="55">
        <v>157</v>
      </c>
      <c r="F13" s="29">
        <f>ROUNDDOWN(VLOOKUP(A13,テーブル!$A$3:$C$8,3,0)*(1+VLOOKUP(E13,テーブル!$J$3:$K$5,2,1)),-1)</f>
        <v>2360</v>
      </c>
      <c r="G13" s="30">
        <f t="shared" si="0"/>
        <v>23720</v>
      </c>
      <c r="H13" s="30">
        <f t="shared" si="1"/>
        <v>346800</v>
      </c>
      <c r="I13" s="36">
        <f>ROUNDUP(H13*INDEX(テーブル!$N$4:$R$7,MATCH(H13,テーブル!$M$4:$M$7,1),MATCH(E13,テーブル!$N$3:$R$3,1)),0)</f>
        <v>14566</v>
      </c>
    </row>
    <row r="14" spans="1:11">
      <c r="A14" s="3">
        <v>14</v>
      </c>
      <c r="B14" s="15" t="str">
        <f>VLOOKUP(A14,テーブル!$A$3:$C$8,2,0)</f>
        <v>Ｄ商品</v>
      </c>
      <c r="C14" s="4">
        <v>101</v>
      </c>
      <c r="D14" s="4" t="str">
        <f>VLOOKUP(C14,テーブル!$E$3:$H$6,2,0)</f>
        <v>長谷川商事</v>
      </c>
      <c r="E14" s="55">
        <v>90</v>
      </c>
      <c r="F14" s="29">
        <f>ROUNDDOWN(VLOOKUP(A14,テーブル!$A$3:$C$8,3,0)*(1+VLOOKUP(E14,テーブル!$J$3:$K$5,2,1)),-1)</f>
        <v>2850</v>
      </c>
      <c r="G14" s="30">
        <f t="shared" si="0"/>
        <v>19500</v>
      </c>
      <c r="H14" s="30">
        <f t="shared" si="1"/>
        <v>237000</v>
      </c>
      <c r="I14" s="36">
        <f>ROUNDUP(H14*INDEX(テーブル!$N$4:$R$7,MATCH(H14,テーブル!$M$4:$M$7,1),MATCH(E14,テーブル!$N$3:$R$3,1)),0)</f>
        <v>12087</v>
      </c>
    </row>
    <row r="15" spans="1:11">
      <c r="A15" s="3">
        <v>14</v>
      </c>
      <c r="B15" s="15" t="str">
        <f>VLOOKUP(A15,テーブル!$A$3:$C$8,2,0)</f>
        <v>Ｄ商品</v>
      </c>
      <c r="C15" s="4">
        <v>102</v>
      </c>
      <c r="D15" s="4" t="str">
        <f>VLOOKUP(C15,テーブル!$E$3:$H$6,2,0)</f>
        <v>新生百貨店</v>
      </c>
      <c r="E15" s="55">
        <v>103</v>
      </c>
      <c r="F15" s="29">
        <f>ROUNDDOWN(VLOOKUP(A15,テーブル!$A$3:$C$8,3,0)*(1+VLOOKUP(E15,テーブル!$J$3:$K$5,2,1)),-1)</f>
        <v>2850</v>
      </c>
      <c r="G15" s="30">
        <f t="shared" si="0"/>
        <v>22310</v>
      </c>
      <c r="H15" s="30">
        <f t="shared" si="1"/>
        <v>271240</v>
      </c>
      <c r="I15" s="36">
        <f>ROUNDUP(H15*INDEX(テーブル!$N$4:$R$7,MATCH(H15,テーブル!$M$4:$M$7,1),MATCH(E15,テーブル!$N$3:$R$3,1)),0)</f>
        <v>13834</v>
      </c>
    </row>
    <row r="16" spans="1:11">
      <c r="A16" s="3">
        <v>14</v>
      </c>
      <c r="B16" s="15" t="str">
        <f>VLOOKUP(A16,テーブル!$A$3:$C$8,2,0)</f>
        <v>Ｄ商品</v>
      </c>
      <c r="C16" s="4">
        <v>103</v>
      </c>
      <c r="D16" s="4" t="str">
        <f>VLOOKUP(C16,テーブル!$E$3:$H$6,2,0)</f>
        <v>ＪＫストア</v>
      </c>
      <c r="E16" s="55">
        <v>179</v>
      </c>
      <c r="F16" s="29">
        <f>ROUNDDOWN(VLOOKUP(A16,テーブル!$A$3:$C$8,3,0)*(1+VLOOKUP(E16,テーブル!$J$3:$K$5,2,1)),-1)</f>
        <v>2810</v>
      </c>
      <c r="G16" s="30">
        <f t="shared" si="0"/>
        <v>38230</v>
      </c>
      <c r="H16" s="30">
        <f t="shared" si="1"/>
        <v>464760</v>
      </c>
      <c r="I16" s="36">
        <f>ROUNDUP(H16*INDEX(テーブル!$N$4:$R$7,MATCH(H16,テーブル!$M$4:$M$7,1),MATCH(E16,テーブル!$N$3:$R$3,1)),0)</f>
        <v>15338</v>
      </c>
    </row>
    <row r="17" spans="1:9">
      <c r="A17" s="3">
        <v>14</v>
      </c>
      <c r="B17" s="15" t="str">
        <f>VLOOKUP(A17,テーブル!$A$3:$C$8,2,0)</f>
        <v>Ｄ商品</v>
      </c>
      <c r="C17" s="4">
        <v>104</v>
      </c>
      <c r="D17" s="4" t="str">
        <f>VLOOKUP(C17,テーブル!$E$3:$H$6,2,0)</f>
        <v>アサヒ総業</v>
      </c>
      <c r="E17" s="55">
        <v>156</v>
      </c>
      <c r="F17" s="29">
        <f>ROUNDDOWN(VLOOKUP(A17,テーブル!$A$3:$C$8,3,0)*(1+VLOOKUP(E17,テーブル!$J$3:$K$5,2,1)),-1)</f>
        <v>2830</v>
      </c>
      <c r="G17" s="30">
        <f t="shared" si="0"/>
        <v>33560</v>
      </c>
      <c r="H17" s="30">
        <f t="shared" si="1"/>
        <v>407920</v>
      </c>
      <c r="I17" s="36">
        <f>ROUNDUP(H17*INDEX(テーブル!$N$4:$R$7,MATCH(H17,テーブル!$M$4:$M$7,1),MATCH(E17,テーブル!$N$3:$R$3,1)),0)</f>
        <v>17133</v>
      </c>
    </row>
    <row r="18" spans="1:9">
      <c r="A18" s="3">
        <v>15</v>
      </c>
      <c r="B18" s="15" t="str">
        <f>VLOOKUP(A18,テーブル!$A$3:$C$8,2,0)</f>
        <v>Ｅ商品</v>
      </c>
      <c r="C18" s="4">
        <v>101</v>
      </c>
      <c r="D18" s="4" t="str">
        <f>VLOOKUP(C18,テーブル!$E$3:$H$6,2,0)</f>
        <v>長谷川商事</v>
      </c>
      <c r="E18" s="55">
        <v>82</v>
      </c>
      <c r="F18" s="29">
        <f>ROUNDDOWN(VLOOKUP(A18,テーブル!$A$3:$C$8,3,0)*(1+VLOOKUP(E18,テーブル!$J$3:$K$5,2,1)),-1)</f>
        <v>2310</v>
      </c>
      <c r="G18" s="30">
        <f t="shared" si="0"/>
        <v>12130</v>
      </c>
      <c r="H18" s="30">
        <f t="shared" si="1"/>
        <v>177290</v>
      </c>
      <c r="I18" s="36">
        <f>ROUNDUP(H18*INDEX(テーブル!$N$4:$R$7,MATCH(H18,テーブル!$M$4:$M$7,1),MATCH(E18,テーブル!$N$3:$R$3,1)),0)</f>
        <v>10638</v>
      </c>
    </row>
    <row r="19" spans="1:9">
      <c r="A19" s="3">
        <v>15</v>
      </c>
      <c r="B19" s="15" t="str">
        <f>VLOOKUP(A19,テーブル!$A$3:$C$8,2,0)</f>
        <v>Ｅ商品</v>
      </c>
      <c r="C19" s="4">
        <v>102</v>
      </c>
      <c r="D19" s="4" t="str">
        <f>VLOOKUP(C19,テーブル!$E$3:$H$6,2,0)</f>
        <v>新生百貨店</v>
      </c>
      <c r="E19" s="55">
        <v>129</v>
      </c>
      <c r="F19" s="29">
        <f>ROUNDDOWN(VLOOKUP(A19,テーブル!$A$3:$C$8,3,0)*(1+VLOOKUP(E19,テーブル!$J$3:$K$5,2,1)),-1)</f>
        <v>2290</v>
      </c>
      <c r="G19" s="30">
        <f t="shared" si="0"/>
        <v>18910</v>
      </c>
      <c r="H19" s="30">
        <f t="shared" si="1"/>
        <v>276500</v>
      </c>
      <c r="I19" s="36">
        <f>ROUNDUP(H19*INDEX(テーブル!$N$4:$R$7,MATCH(H19,テーブル!$M$4:$M$7,1),MATCH(E19,テーブル!$N$3:$R$3,1)),0)</f>
        <v>14102</v>
      </c>
    </row>
    <row r="20" spans="1:9">
      <c r="A20" s="3">
        <v>15</v>
      </c>
      <c r="B20" s="15" t="str">
        <f>VLOOKUP(A20,テーブル!$A$3:$C$8,2,0)</f>
        <v>Ｅ商品</v>
      </c>
      <c r="C20" s="4">
        <v>103</v>
      </c>
      <c r="D20" s="4" t="str">
        <f>VLOOKUP(C20,テーブル!$E$3:$H$6,2,0)</f>
        <v>ＪＫストア</v>
      </c>
      <c r="E20" s="55">
        <v>170</v>
      </c>
      <c r="F20" s="29">
        <f>ROUNDDOWN(VLOOKUP(A20,テーブル!$A$3:$C$8,3,0)*(1+VLOOKUP(E20,テーブル!$J$3:$K$5,2,1)),-1)</f>
        <v>2270</v>
      </c>
      <c r="G20" s="30">
        <f t="shared" si="0"/>
        <v>24700</v>
      </c>
      <c r="H20" s="31">
        <f t="shared" si="1"/>
        <v>361200</v>
      </c>
      <c r="I20" s="36">
        <f>ROUNDUP(H20*INDEX(テーブル!$N$4:$R$7,MATCH(H20,テーブル!$M$4:$M$7,1),MATCH(E20,テーブル!$N$3:$R$3,1)),0)</f>
        <v>14448</v>
      </c>
    </row>
    <row r="21" spans="1:9">
      <c r="A21" s="3">
        <v>15</v>
      </c>
      <c r="B21" s="15" t="str">
        <f>VLOOKUP(A21,テーブル!$A$3:$C$8,2,0)</f>
        <v>Ｅ商品</v>
      </c>
      <c r="C21" s="4">
        <v>104</v>
      </c>
      <c r="D21" s="4" t="str">
        <f>VLOOKUP(C21,テーブル!$E$3:$H$6,2,0)</f>
        <v>アサヒ総業</v>
      </c>
      <c r="E21" s="55">
        <v>172</v>
      </c>
      <c r="F21" s="29">
        <f>ROUNDDOWN(VLOOKUP(A21,テーブル!$A$3:$C$8,3,0)*(1+VLOOKUP(E21,テーブル!$J$3:$K$5,2,1)),-1)</f>
        <v>2270</v>
      </c>
      <c r="G21" s="30">
        <f t="shared" si="0"/>
        <v>24990</v>
      </c>
      <c r="H21" s="30">
        <f t="shared" si="1"/>
        <v>365450</v>
      </c>
      <c r="I21" s="36">
        <f>ROUNDUP(H21*INDEX(テーブル!$N$4:$R$7,MATCH(H21,テーブル!$M$4:$M$7,1),MATCH(E21,テーブル!$N$3:$R$3,1)),0)</f>
        <v>14618</v>
      </c>
    </row>
    <row r="22" spans="1:9">
      <c r="A22" s="3">
        <v>16</v>
      </c>
      <c r="B22" s="15" t="str">
        <f>VLOOKUP(A22,テーブル!$A$3:$C$8,2,0)</f>
        <v>Ｆ商品</v>
      </c>
      <c r="C22" s="4">
        <v>101</v>
      </c>
      <c r="D22" s="4" t="str">
        <f>VLOOKUP(C22,テーブル!$E$3:$H$6,2,0)</f>
        <v>長谷川商事</v>
      </c>
      <c r="E22" s="55">
        <v>220</v>
      </c>
      <c r="F22" s="29">
        <f>ROUNDDOWN(VLOOKUP(A22,テーブル!$A$3:$C$8,3,0)*(1+VLOOKUP(E22,テーブル!$J$3:$K$5,2,1)),-1)</f>
        <v>2580</v>
      </c>
      <c r="G22" s="30">
        <f t="shared" si="0"/>
        <v>43140</v>
      </c>
      <c r="H22" s="31">
        <f t="shared" si="1"/>
        <v>524460</v>
      </c>
      <c r="I22" s="36">
        <f>ROUNDUP(H22*INDEX(テーブル!$N$4:$R$7,MATCH(H22,テーブル!$M$4:$M$7,1),MATCH(E22,テーブル!$N$3:$R$3,1)),0)</f>
        <v>16259</v>
      </c>
    </row>
    <row r="23" spans="1:9">
      <c r="A23" s="3">
        <v>16</v>
      </c>
      <c r="B23" s="15" t="str">
        <f>VLOOKUP(A23,テーブル!$A$3:$C$8,2,0)</f>
        <v>Ｆ商品</v>
      </c>
      <c r="C23" s="4">
        <v>102</v>
      </c>
      <c r="D23" s="4" t="str">
        <f>VLOOKUP(C23,テーブル!$E$3:$H$6,2,0)</f>
        <v>新生百貨店</v>
      </c>
      <c r="E23" s="55">
        <v>102</v>
      </c>
      <c r="F23" s="29">
        <f>ROUNDDOWN(VLOOKUP(A23,テーブル!$A$3:$C$8,3,0)*(1+VLOOKUP(E23,テーブル!$J$3:$K$5,2,1)),-1)</f>
        <v>2620</v>
      </c>
      <c r="G23" s="30">
        <f t="shared" si="0"/>
        <v>17110</v>
      </c>
      <c r="H23" s="30">
        <f t="shared" si="1"/>
        <v>250130</v>
      </c>
      <c r="I23" s="36">
        <f>ROUNDUP(H23*INDEX(テーブル!$N$4:$R$7,MATCH(H23,テーブル!$M$4:$M$7,1),MATCH(E23,テーブル!$N$3:$R$3,1)),0)</f>
        <v>12757</v>
      </c>
    </row>
    <row r="24" spans="1:9">
      <c r="A24" s="3">
        <v>16</v>
      </c>
      <c r="B24" s="15" t="str">
        <f>VLOOKUP(A24,テーブル!$A$3:$C$8,2,0)</f>
        <v>Ｆ商品</v>
      </c>
      <c r="C24" s="4">
        <v>103</v>
      </c>
      <c r="D24" s="4" t="str">
        <f>VLOOKUP(C24,テーブル!$E$3:$H$6,2,0)</f>
        <v>ＪＫストア</v>
      </c>
      <c r="E24" s="55">
        <v>110</v>
      </c>
      <c r="F24" s="29">
        <f>ROUNDDOWN(VLOOKUP(A24,テーブル!$A$3:$C$8,3,0)*(1+VLOOKUP(E24,テーブル!$J$3:$K$5,2,1)),-1)</f>
        <v>2600</v>
      </c>
      <c r="G24" s="30">
        <f t="shared" si="0"/>
        <v>18310</v>
      </c>
      <c r="H24" s="30">
        <f t="shared" si="1"/>
        <v>267690</v>
      </c>
      <c r="I24" s="36">
        <f>ROUNDUP(H24*INDEX(テーブル!$N$4:$R$7,MATCH(H24,テーブル!$M$4:$M$7,1),MATCH(E24,テーブル!$N$3:$R$3,1)),0)</f>
        <v>13653</v>
      </c>
    </row>
    <row r="25" spans="1:9">
      <c r="A25" s="3">
        <v>16</v>
      </c>
      <c r="B25" s="15" t="str">
        <f>VLOOKUP(A25,テーブル!$A$3:$C$8,2,0)</f>
        <v>Ｆ商品</v>
      </c>
      <c r="C25" s="4">
        <v>104</v>
      </c>
      <c r="D25" s="4" t="str">
        <f>VLOOKUP(C25,テーブル!$E$3:$H$6,2,0)</f>
        <v>アサヒ総業</v>
      </c>
      <c r="E25" s="55">
        <v>180</v>
      </c>
      <c r="F25" s="29">
        <f>ROUNDDOWN(VLOOKUP(A25,テーブル!$A$3:$C$8,3,0)*(1+VLOOKUP(E25,テーブル!$J$3:$K$5,2,1)),-1)</f>
        <v>2580</v>
      </c>
      <c r="G25" s="30">
        <f t="shared" si="0"/>
        <v>35300</v>
      </c>
      <c r="H25" s="30">
        <f t="shared" si="1"/>
        <v>429100</v>
      </c>
      <c r="I25" s="36">
        <f>ROUNDUP(H25*INDEX(テーブル!$N$4:$R$7,MATCH(H25,テーブル!$M$4:$M$7,1),MATCH(E25,テーブル!$N$3:$R$3,1)),0)</f>
        <v>14161</v>
      </c>
    </row>
    <row r="26" spans="1:9">
      <c r="A26" s="3"/>
      <c r="B26" s="4"/>
      <c r="C26" s="4"/>
      <c r="D26" s="4"/>
      <c r="E26" s="4"/>
      <c r="F26" s="4"/>
      <c r="G26" s="4"/>
      <c r="H26" s="4"/>
      <c r="I26" s="7"/>
    </row>
    <row r="27" spans="1:9" ht="14.25" thickBot="1">
      <c r="A27" s="8"/>
      <c r="B27" s="32" t="s">
        <v>1</v>
      </c>
      <c r="C27" s="33"/>
      <c r="D27" s="9"/>
      <c r="E27" s="34">
        <f>SUM(E2:E25)</f>
        <v>3356</v>
      </c>
      <c r="F27" s="34"/>
      <c r="G27" s="34">
        <f>SUM(G2:G25)</f>
        <v>597110</v>
      </c>
      <c r="H27" s="34">
        <f>SUM(H2:H25)</f>
        <v>7826430</v>
      </c>
      <c r="I27" s="35">
        <f>SUM(I2:I25)</f>
        <v>332736</v>
      </c>
    </row>
    <row r="29" spans="1:9">
      <c r="F29" s="18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8" width="10.5" style="1" bestFit="1" customWidth="1"/>
    <col min="9" max="9" width="8.5" style="1" bestFit="1" customWidth="1"/>
    <col min="10" max="16384" width="9" style="1"/>
  </cols>
  <sheetData>
    <row r="1" spans="1:9">
      <c r="A1" s="12" t="s">
        <v>3</v>
      </c>
      <c r="B1" s="27" t="s">
        <v>4</v>
      </c>
      <c r="C1" s="27" t="s">
        <v>7</v>
      </c>
      <c r="D1" s="27" t="s">
        <v>8</v>
      </c>
      <c r="E1" s="27" t="s">
        <v>9</v>
      </c>
      <c r="F1" s="27" t="s">
        <v>12</v>
      </c>
      <c r="G1" s="27" t="s">
        <v>11</v>
      </c>
      <c r="H1" s="27" t="s">
        <v>10</v>
      </c>
      <c r="I1" s="28" t="s">
        <v>23</v>
      </c>
    </row>
    <row r="2" spans="1:9">
      <c r="A2" s="3">
        <v>11</v>
      </c>
      <c r="B2" s="15" t="str">
        <f>VLOOKUP(A2,テーブル!$A$3:$C$8,2,0)</f>
        <v>Ａ商品</v>
      </c>
      <c r="C2" s="4">
        <v>101</v>
      </c>
      <c r="D2" s="4" t="str">
        <f>VLOOKUP(C2,テーブル!$E$3:$H$6,2,0)</f>
        <v>長谷川商事</v>
      </c>
      <c r="E2" s="55">
        <v>132</v>
      </c>
      <c r="F2" s="29">
        <f>ROUNDDOWN(VLOOKUP(A2,テーブル!$A$3:$C$8,3,0)*(1+VLOOKUP(E2,テーブル!$J$3:$K$5,2,1)),-1)</f>
        <v>2150</v>
      </c>
      <c r="G2" s="30">
        <f t="shared" ref="G2:G25" si="0">ROUNDUP(IF(OR(E2&gt;=180,F2&gt;=2800),F2*E2*7.6%,F2*E2*6.4%),-1)</f>
        <v>18170</v>
      </c>
      <c r="H2" s="31">
        <f t="shared" ref="H2:H25" si="1">F2*E2-G2</f>
        <v>265630</v>
      </c>
      <c r="I2" s="36">
        <f>ROUNDUP(H2*INDEX(テーブル!$N$4:$R$7,MATCH(H2,テーブル!$M$4:$M$7,1),MATCH(E2,テーブル!$N$3:$R$3,1)),0)</f>
        <v>13016</v>
      </c>
    </row>
    <row r="3" spans="1:9">
      <c r="A3" s="3">
        <v>11</v>
      </c>
      <c r="B3" s="15" t="str">
        <f>VLOOKUP(A3,テーブル!$A$3:$C$8,2,0)</f>
        <v>Ａ商品</v>
      </c>
      <c r="C3" s="4">
        <v>102</v>
      </c>
      <c r="D3" s="4" t="str">
        <f>VLOOKUP(C3,テーブル!$E$3:$H$6,2,0)</f>
        <v>新生百貨店</v>
      </c>
      <c r="E3" s="55">
        <v>180</v>
      </c>
      <c r="F3" s="29">
        <f>ROUNDDOWN(VLOOKUP(A3,テーブル!$A$3:$C$8,3,0)*(1+VLOOKUP(E3,テーブル!$J$3:$K$5,2,1)),-1)</f>
        <v>2140</v>
      </c>
      <c r="G3" s="30">
        <f t="shared" si="0"/>
        <v>29280</v>
      </c>
      <c r="H3" s="31">
        <f t="shared" si="1"/>
        <v>355920</v>
      </c>
      <c r="I3" s="36">
        <f>ROUNDUP(H3*INDEX(テーブル!$N$4:$R$7,MATCH(H3,テーブル!$M$4:$M$7,1),MATCH(E3,テーブル!$N$3:$R$3,1)),0)</f>
        <v>14237</v>
      </c>
    </row>
    <row r="4" spans="1:9">
      <c r="A4" s="3">
        <v>11</v>
      </c>
      <c r="B4" s="15" t="str">
        <f>VLOOKUP(A4,テーブル!$A$3:$C$8,2,0)</f>
        <v>Ａ商品</v>
      </c>
      <c r="C4" s="4">
        <v>103</v>
      </c>
      <c r="D4" s="4" t="str">
        <f>VLOOKUP(C4,テーブル!$E$3:$H$6,2,0)</f>
        <v>ＪＫストア</v>
      </c>
      <c r="E4" s="55">
        <v>92</v>
      </c>
      <c r="F4" s="29">
        <f>ROUNDDOWN(VLOOKUP(A4,テーブル!$A$3:$C$8,3,0)*(1+VLOOKUP(E4,テーブル!$J$3:$K$5,2,1)),-1)</f>
        <v>2170</v>
      </c>
      <c r="G4" s="30">
        <f t="shared" si="0"/>
        <v>12780</v>
      </c>
      <c r="H4" s="31">
        <f t="shared" si="1"/>
        <v>186860</v>
      </c>
      <c r="I4" s="36">
        <f>ROUNDUP(H4*INDEX(テーブル!$N$4:$R$7,MATCH(H4,テーブル!$M$4:$M$7,1),MATCH(E4,テーブル!$N$3:$R$3,1)),0)</f>
        <v>10838</v>
      </c>
    </row>
    <row r="5" spans="1:9">
      <c r="A5" s="3">
        <v>11</v>
      </c>
      <c r="B5" s="15" t="str">
        <f>VLOOKUP(A5,テーブル!$A$3:$C$8,2,0)</f>
        <v>Ａ商品</v>
      </c>
      <c r="C5" s="4">
        <v>104</v>
      </c>
      <c r="D5" s="4" t="str">
        <f>VLOOKUP(C5,テーブル!$E$3:$H$6,2,0)</f>
        <v>アサヒ総業</v>
      </c>
      <c r="E5" s="55">
        <v>159</v>
      </c>
      <c r="F5" s="29">
        <f>ROUNDDOWN(VLOOKUP(A5,テーブル!$A$3:$C$8,3,0)*(1+VLOOKUP(E5,テーブル!$J$3:$K$5,2,1)),-1)</f>
        <v>2150</v>
      </c>
      <c r="G5" s="30">
        <f t="shared" si="0"/>
        <v>21880</v>
      </c>
      <c r="H5" s="31">
        <f t="shared" si="1"/>
        <v>319970</v>
      </c>
      <c r="I5" s="36">
        <f>ROUNDUP(H5*INDEX(テーブル!$N$4:$R$7,MATCH(H5,テーブル!$M$4:$M$7,1),MATCH(E5,テーブル!$N$3:$R$3,1)),0)</f>
        <v>15679</v>
      </c>
    </row>
    <row r="6" spans="1:9">
      <c r="A6" s="3">
        <v>12</v>
      </c>
      <c r="B6" s="15" t="str">
        <f>VLOOKUP(A6,テーブル!$A$3:$C$8,2,0)</f>
        <v>Ｂ商品</v>
      </c>
      <c r="C6" s="4">
        <v>101</v>
      </c>
      <c r="D6" s="4" t="str">
        <f>VLOOKUP(C6,テーブル!$E$3:$H$6,2,0)</f>
        <v>長谷川商事</v>
      </c>
      <c r="E6" s="55">
        <v>131</v>
      </c>
      <c r="F6" s="29">
        <f>ROUNDDOWN(VLOOKUP(A6,テーブル!$A$3:$C$8,3,0)*(1+VLOOKUP(E6,テーブル!$J$3:$K$5,2,1)),-1)</f>
        <v>2960</v>
      </c>
      <c r="G6" s="30">
        <f t="shared" si="0"/>
        <v>29470</v>
      </c>
      <c r="H6" s="31">
        <f t="shared" si="1"/>
        <v>358290</v>
      </c>
      <c r="I6" s="36">
        <f>ROUNDUP(H6*INDEX(テーブル!$N$4:$R$7,MATCH(H6,テーブル!$M$4:$M$7,1),MATCH(E6,テーブル!$N$3:$R$3,1)),0)</f>
        <v>15049</v>
      </c>
    </row>
    <row r="7" spans="1:9">
      <c r="A7" s="3">
        <v>12</v>
      </c>
      <c r="B7" s="15" t="str">
        <f>VLOOKUP(A7,テーブル!$A$3:$C$8,2,0)</f>
        <v>Ｂ商品</v>
      </c>
      <c r="C7" s="4">
        <v>102</v>
      </c>
      <c r="D7" s="4" t="str">
        <f>VLOOKUP(C7,テーブル!$E$3:$H$6,2,0)</f>
        <v>新生百貨店</v>
      </c>
      <c r="E7" s="55">
        <v>220</v>
      </c>
      <c r="F7" s="29">
        <f>ROUNDDOWN(VLOOKUP(A7,テーブル!$A$3:$C$8,3,0)*(1+VLOOKUP(E7,テーブル!$J$3:$K$5,2,1)),-1)</f>
        <v>2940</v>
      </c>
      <c r="G7" s="30">
        <f t="shared" si="0"/>
        <v>49160</v>
      </c>
      <c r="H7" s="31">
        <f t="shared" si="1"/>
        <v>597640</v>
      </c>
      <c r="I7" s="36">
        <f>ROUNDUP(H7*INDEX(テーブル!$N$4:$R$7,MATCH(H7,テーブル!$M$4:$M$7,1),MATCH(E7,テーブル!$N$3:$R$3,1)),0)</f>
        <v>18527</v>
      </c>
    </row>
    <row r="8" spans="1:9">
      <c r="A8" s="3">
        <v>12</v>
      </c>
      <c r="B8" s="15" t="str">
        <f>VLOOKUP(A8,テーブル!$A$3:$C$8,2,0)</f>
        <v>Ｂ商品</v>
      </c>
      <c r="C8" s="4">
        <v>103</v>
      </c>
      <c r="D8" s="4" t="str">
        <f>VLOOKUP(C8,テーブル!$E$3:$H$6,2,0)</f>
        <v>ＪＫストア</v>
      </c>
      <c r="E8" s="55">
        <v>146</v>
      </c>
      <c r="F8" s="29">
        <f>ROUNDDOWN(VLOOKUP(A8,テーブル!$A$3:$C$8,3,0)*(1+VLOOKUP(E8,テーブル!$J$3:$K$5,2,1)),-1)</f>
        <v>2960</v>
      </c>
      <c r="G8" s="30">
        <f t="shared" si="0"/>
        <v>32850</v>
      </c>
      <c r="H8" s="31">
        <f t="shared" si="1"/>
        <v>399310</v>
      </c>
      <c r="I8" s="36">
        <f>ROUNDUP(H8*INDEX(テーブル!$N$4:$R$7,MATCH(H8,テーブル!$M$4:$M$7,1),MATCH(E8,テーブル!$N$3:$R$3,1)),0)</f>
        <v>16772</v>
      </c>
    </row>
    <row r="9" spans="1:9">
      <c r="A9" s="3">
        <v>12</v>
      </c>
      <c r="B9" s="15" t="str">
        <f>VLOOKUP(A9,テーブル!$A$3:$C$8,2,0)</f>
        <v>Ｂ商品</v>
      </c>
      <c r="C9" s="4">
        <v>104</v>
      </c>
      <c r="D9" s="4" t="str">
        <f>VLOOKUP(C9,テーブル!$E$3:$H$6,2,0)</f>
        <v>アサヒ総業</v>
      </c>
      <c r="E9" s="55">
        <v>88</v>
      </c>
      <c r="F9" s="29">
        <f>ROUNDDOWN(VLOOKUP(A9,テーブル!$A$3:$C$8,3,0)*(1+VLOOKUP(E9,テーブル!$J$3:$K$5,2,1)),-1)</f>
        <v>2980</v>
      </c>
      <c r="G9" s="30">
        <f t="shared" si="0"/>
        <v>19940</v>
      </c>
      <c r="H9" s="31">
        <f t="shared" si="1"/>
        <v>242300</v>
      </c>
      <c r="I9" s="36">
        <f>ROUNDUP(H9*INDEX(テーブル!$N$4:$R$7,MATCH(H9,テーブル!$M$4:$M$7,1),MATCH(E9,テーブル!$N$3:$R$3,1)),0)</f>
        <v>12842</v>
      </c>
    </row>
    <row r="10" spans="1:9">
      <c r="A10" s="3">
        <v>13</v>
      </c>
      <c r="B10" s="15" t="str">
        <f>VLOOKUP(A10,テーブル!$A$3:$C$8,2,0)</f>
        <v>Ｃ商品</v>
      </c>
      <c r="C10" s="4">
        <v>101</v>
      </c>
      <c r="D10" s="4" t="str">
        <f>VLOOKUP(C10,テーブル!$E$3:$H$6,2,0)</f>
        <v>長谷川商事</v>
      </c>
      <c r="E10" s="55">
        <v>162</v>
      </c>
      <c r="F10" s="29">
        <f>ROUNDDOWN(VLOOKUP(A10,テーブル!$A$3:$C$8,3,0)*(1+VLOOKUP(E10,テーブル!$J$3:$K$5,2,1)),-1)</f>
        <v>2360</v>
      </c>
      <c r="G10" s="30">
        <f t="shared" si="0"/>
        <v>24470</v>
      </c>
      <c r="H10" s="31">
        <f t="shared" si="1"/>
        <v>357850</v>
      </c>
      <c r="I10" s="36">
        <f>ROUNDUP(H10*INDEX(テーブル!$N$4:$R$7,MATCH(H10,テーブル!$M$4:$M$7,1),MATCH(E10,テーブル!$N$3:$R$3,1)),0)</f>
        <v>14314</v>
      </c>
    </row>
    <row r="11" spans="1:9">
      <c r="A11" s="3">
        <v>13</v>
      </c>
      <c r="B11" s="15" t="str">
        <f>VLOOKUP(A11,テーブル!$A$3:$C$8,2,0)</f>
        <v>Ｃ商品</v>
      </c>
      <c r="C11" s="4">
        <v>102</v>
      </c>
      <c r="D11" s="4" t="str">
        <f>VLOOKUP(C11,テーブル!$E$3:$H$6,2,0)</f>
        <v>新生百貨店</v>
      </c>
      <c r="E11" s="55">
        <v>210</v>
      </c>
      <c r="F11" s="29">
        <f>ROUNDDOWN(VLOOKUP(A11,テーブル!$A$3:$C$8,3,0)*(1+VLOOKUP(E11,テーブル!$J$3:$K$5,2,1)),-1)</f>
        <v>2350</v>
      </c>
      <c r="G11" s="30">
        <f t="shared" si="0"/>
        <v>37510</v>
      </c>
      <c r="H11" s="31">
        <f t="shared" si="1"/>
        <v>455990</v>
      </c>
      <c r="I11" s="36">
        <f>ROUNDUP(H11*INDEX(テーブル!$N$4:$R$7,MATCH(H11,テーブル!$M$4:$M$7,1),MATCH(E11,テーブル!$N$3:$R$3,1)),0)</f>
        <v>14136</v>
      </c>
    </row>
    <row r="12" spans="1:9">
      <c r="A12" s="3">
        <v>13</v>
      </c>
      <c r="B12" s="15" t="str">
        <f>VLOOKUP(A12,テーブル!$A$3:$C$8,2,0)</f>
        <v>Ｃ商品</v>
      </c>
      <c r="C12" s="4">
        <v>103</v>
      </c>
      <c r="D12" s="4" t="str">
        <f>VLOOKUP(C12,テーブル!$E$3:$H$6,2,0)</f>
        <v>ＪＫストア</v>
      </c>
      <c r="E12" s="55">
        <v>77</v>
      </c>
      <c r="F12" s="29">
        <f>ROUNDDOWN(VLOOKUP(A12,テーブル!$A$3:$C$8,3,0)*(1+VLOOKUP(E12,テーブル!$J$3:$K$5,2,1)),-1)</f>
        <v>2380</v>
      </c>
      <c r="G12" s="30">
        <f t="shared" si="0"/>
        <v>11730</v>
      </c>
      <c r="H12" s="31">
        <f t="shared" si="1"/>
        <v>171530</v>
      </c>
      <c r="I12" s="36">
        <f>ROUNDUP(H12*INDEX(テーブル!$N$4:$R$7,MATCH(H12,テーブル!$M$4:$M$7,1),MATCH(E12,テーブル!$N$3:$R$3,1)),0)</f>
        <v>10292</v>
      </c>
    </row>
    <row r="13" spans="1:9">
      <c r="A13" s="3">
        <v>13</v>
      </c>
      <c r="B13" s="15" t="str">
        <f>VLOOKUP(A13,テーブル!$A$3:$C$8,2,0)</f>
        <v>Ｃ商品</v>
      </c>
      <c r="C13" s="4">
        <v>104</v>
      </c>
      <c r="D13" s="4" t="str">
        <f>VLOOKUP(C13,テーブル!$E$3:$H$6,2,0)</f>
        <v>アサヒ総業</v>
      </c>
      <c r="E13" s="55">
        <v>150</v>
      </c>
      <c r="F13" s="29">
        <f>ROUNDDOWN(VLOOKUP(A13,テーブル!$A$3:$C$8,3,0)*(1+VLOOKUP(E13,テーブル!$J$3:$K$5,2,1)),-1)</f>
        <v>2360</v>
      </c>
      <c r="G13" s="30">
        <f t="shared" si="0"/>
        <v>22660</v>
      </c>
      <c r="H13" s="31">
        <f t="shared" si="1"/>
        <v>331340</v>
      </c>
      <c r="I13" s="36">
        <f>ROUNDUP(H13*INDEX(テーブル!$N$4:$R$7,MATCH(H13,テーブル!$M$4:$M$7,1),MATCH(E13,テーブル!$N$3:$R$3,1)),0)</f>
        <v>13917</v>
      </c>
    </row>
    <row r="14" spans="1:9">
      <c r="A14" s="3">
        <v>14</v>
      </c>
      <c r="B14" s="15" t="str">
        <f>VLOOKUP(A14,テーブル!$A$3:$C$8,2,0)</f>
        <v>Ｄ商品</v>
      </c>
      <c r="C14" s="4">
        <v>101</v>
      </c>
      <c r="D14" s="4" t="str">
        <f>VLOOKUP(C14,テーブル!$E$3:$H$6,2,0)</f>
        <v>長谷川商事</v>
      </c>
      <c r="E14" s="55">
        <v>110</v>
      </c>
      <c r="F14" s="29">
        <f>ROUNDDOWN(VLOOKUP(A14,テーブル!$A$3:$C$8,3,0)*(1+VLOOKUP(E14,テーブル!$J$3:$K$5,2,1)),-1)</f>
        <v>2830</v>
      </c>
      <c r="G14" s="30">
        <f t="shared" si="0"/>
        <v>23660</v>
      </c>
      <c r="H14" s="31">
        <f t="shared" si="1"/>
        <v>287640</v>
      </c>
      <c r="I14" s="36">
        <f>ROUNDUP(H14*INDEX(テーブル!$N$4:$R$7,MATCH(H14,テーブル!$M$4:$M$7,1),MATCH(E14,テーブル!$N$3:$R$3,1)),0)</f>
        <v>14670</v>
      </c>
    </row>
    <row r="15" spans="1:9">
      <c r="A15" s="3">
        <v>14</v>
      </c>
      <c r="B15" s="15" t="str">
        <f>VLOOKUP(A15,テーブル!$A$3:$C$8,2,0)</f>
        <v>Ｄ商品</v>
      </c>
      <c r="C15" s="4">
        <v>102</v>
      </c>
      <c r="D15" s="4" t="str">
        <f>VLOOKUP(C15,テーブル!$E$3:$H$6,2,0)</f>
        <v>新生百貨店</v>
      </c>
      <c r="E15" s="55">
        <v>108</v>
      </c>
      <c r="F15" s="29">
        <f>ROUNDDOWN(VLOOKUP(A15,テーブル!$A$3:$C$8,3,0)*(1+VLOOKUP(E15,テーブル!$J$3:$K$5,2,1)),-1)</f>
        <v>2850</v>
      </c>
      <c r="G15" s="30">
        <f t="shared" si="0"/>
        <v>23400</v>
      </c>
      <c r="H15" s="31">
        <f t="shared" si="1"/>
        <v>284400</v>
      </c>
      <c r="I15" s="36">
        <f>ROUNDUP(H15*INDEX(テーブル!$N$4:$R$7,MATCH(H15,テーブル!$M$4:$M$7,1),MATCH(E15,テーブル!$N$3:$R$3,1)),0)</f>
        <v>14505</v>
      </c>
    </row>
    <row r="16" spans="1:9">
      <c r="A16" s="3">
        <v>14</v>
      </c>
      <c r="B16" s="15" t="str">
        <f>VLOOKUP(A16,テーブル!$A$3:$C$8,2,0)</f>
        <v>Ｄ商品</v>
      </c>
      <c r="C16" s="4">
        <v>103</v>
      </c>
      <c r="D16" s="4" t="str">
        <f>VLOOKUP(C16,テーブル!$E$3:$H$6,2,0)</f>
        <v>ＪＫストア</v>
      </c>
      <c r="E16" s="55">
        <v>170</v>
      </c>
      <c r="F16" s="29">
        <f>ROUNDDOWN(VLOOKUP(A16,テーブル!$A$3:$C$8,3,0)*(1+VLOOKUP(E16,テーブル!$J$3:$K$5,2,1)),-1)</f>
        <v>2810</v>
      </c>
      <c r="G16" s="30">
        <f t="shared" si="0"/>
        <v>36310</v>
      </c>
      <c r="H16" s="31">
        <f t="shared" si="1"/>
        <v>441390</v>
      </c>
      <c r="I16" s="36">
        <f>ROUNDUP(H16*INDEX(テーブル!$N$4:$R$7,MATCH(H16,テーブル!$M$4:$M$7,1),MATCH(E16,テーブル!$N$3:$R$3,1)),0)</f>
        <v>14566</v>
      </c>
    </row>
    <row r="17" spans="1:9">
      <c r="A17" s="3">
        <v>14</v>
      </c>
      <c r="B17" s="15" t="str">
        <f>VLOOKUP(A17,テーブル!$A$3:$C$8,2,0)</f>
        <v>Ｄ商品</v>
      </c>
      <c r="C17" s="4">
        <v>104</v>
      </c>
      <c r="D17" s="4" t="str">
        <f>VLOOKUP(C17,テーブル!$E$3:$H$6,2,0)</f>
        <v>アサヒ総業</v>
      </c>
      <c r="E17" s="55">
        <v>143</v>
      </c>
      <c r="F17" s="29">
        <f>ROUNDDOWN(VLOOKUP(A17,テーブル!$A$3:$C$8,3,0)*(1+VLOOKUP(E17,テーブル!$J$3:$K$5,2,1)),-1)</f>
        <v>2830</v>
      </c>
      <c r="G17" s="30">
        <f t="shared" si="0"/>
        <v>30760</v>
      </c>
      <c r="H17" s="31">
        <f t="shared" si="1"/>
        <v>373930</v>
      </c>
      <c r="I17" s="36">
        <f>ROUNDUP(H17*INDEX(テーブル!$N$4:$R$7,MATCH(H17,テーブル!$M$4:$M$7,1),MATCH(E17,テーブル!$N$3:$R$3,1)),0)</f>
        <v>15706</v>
      </c>
    </row>
    <row r="18" spans="1:9">
      <c r="A18" s="3">
        <v>15</v>
      </c>
      <c r="B18" s="15" t="str">
        <f>VLOOKUP(A18,テーブル!$A$3:$C$8,2,0)</f>
        <v>Ｅ商品</v>
      </c>
      <c r="C18" s="4">
        <v>101</v>
      </c>
      <c r="D18" s="4" t="str">
        <f>VLOOKUP(C18,テーブル!$E$3:$H$6,2,0)</f>
        <v>長谷川商事</v>
      </c>
      <c r="E18" s="55">
        <v>86</v>
      </c>
      <c r="F18" s="29">
        <f>ROUNDDOWN(VLOOKUP(A18,テーブル!$A$3:$C$8,3,0)*(1+VLOOKUP(E18,テーブル!$J$3:$K$5,2,1)),-1)</f>
        <v>2310</v>
      </c>
      <c r="G18" s="30">
        <f t="shared" si="0"/>
        <v>12720</v>
      </c>
      <c r="H18" s="31">
        <f t="shared" si="1"/>
        <v>185940</v>
      </c>
      <c r="I18" s="36">
        <f>ROUNDUP(H18*INDEX(テーブル!$N$4:$R$7,MATCH(H18,テーブル!$M$4:$M$7,1),MATCH(E18,テーブル!$N$3:$R$3,1)),0)</f>
        <v>11157</v>
      </c>
    </row>
    <row r="19" spans="1:9">
      <c r="A19" s="3">
        <v>15</v>
      </c>
      <c r="B19" s="15" t="str">
        <f>VLOOKUP(A19,テーブル!$A$3:$C$8,2,0)</f>
        <v>Ｅ商品</v>
      </c>
      <c r="C19" s="4">
        <v>102</v>
      </c>
      <c r="D19" s="4" t="str">
        <f>VLOOKUP(C19,テーブル!$E$3:$H$6,2,0)</f>
        <v>新生百貨店</v>
      </c>
      <c r="E19" s="55">
        <v>109</v>
      </c>
      <c r="F19" s="29">
        <f>ROUNDDOWN(VLOOKUP(A19,テーブル!$A$3:$C$8,3,0)*(1+VLOOKUP(E19,テーブル!$J$3:$K$5,2,1)),-1)</f>
        <v>2310</v>
      </c>
      <c r="G19" s="30">
        <f t="shared" si="0"/>
        <v>16120</v>
      </c>
      <c r="H19" s="31">
        <f t="shared" si="1"/>
        <v>235670</v>
      </c>
      <c r="I19" s="36">
        <f>ROUNDUP(H19*INDEX(テーブル!$N$4:$R$7,MATCH(H19,テーブル!$M$4:$M$7,1),MATCH(E19,テーブル!$N$3:$R$3,1)),0)</f>
        <v>12020</v>
      </c>
    </row>
    <row r="20" spans="1:9">
      <c r="A20" s="3">
        <v>15</v>
      </c>
      <c r="B20" s="15" t="str">
        <f>VLOOKUP(A20,テーブル!$A$3:$C$8,2,0)</f>
        <v>Ｅ商品</v>
      </c>
      <c r="C20" s="4">
        <v>103</v>
      </c>
      <c r="D20" s="4" t="str">
        <f>VLOOKUP(C20,テーブル!$E$3:$H$6,2,0)</f>
        <v>ＪＫストア</v>
      </c>
      <c r="E20" s="55">
        <v>192</v>
      </c>
      <c r="F20" s="29">
        <f>ROUNDDOWN(VLOOKUP(A20,テーブル!$A$3:$C$8,3,0)*(1+VLOOKUP(E20,テーブル!$J$3:$K$5,2,1)),-1)</f>
        <v>2270</v>
      </c>
      <c r="G20" s="30">
        <f t="shared" si="0"/>
        <v>33130</v>
      </c>
      <c r="H20" s="31">
        <f t="shared" si="1"/>
        <v>402710</v>
      </c>
      <c r="I20" s="36">
        <f>ROUNDUP(H20*INDEX(テーブル!$N$4:$R$7,MATCH(H20,テーブル!$M$4:$M$7,1),MATCH(E20,テーブル!$N$3:$R$3,1)),0)</f>
        <v>15303</v>
      </c>
    </row>
    <row r="21" spans="1:9">
      <c r="A21" s="3">
        <v>15</v>
      </c>
      <c r="B21" s="15" t="str">
        <f>VLOOKUP(A21,テーブル!$A$3:$C$8,2,0)</f>
        <v>Ｅ商品</v>
      </c>
      <c r="C21" s="4">
        <v>104</v>
      </c>
      <c r="D21" s="4" t="str">
        <f>VLOOKUP(C21,テーブル!$E$3:$H$6,2,0)</f>
        <v>アサヒ総業</v>
      </c>
      <c r="E21" s="55">
        <v>172</v>
      </c>
      <c r="F21" s="29">
        <f>ROUNDDOWN(VLOOKUP(A21,テーブル!$A$3:$C$8,3,0)*(1+VLOOKUP(E21,テーブル!$J$3:$K$5,2,1)),-1)</f>
        <v>2270</v>
      </c>
      <c r="G21" s="30">
        <f t="shared" si="0"/>
        <v>24990</v>
      </c>
      <c r="H21" s="31">
        <f t="shared" si="1"/>
        <v>365450</v>
      </c>
      <c r="I21" s="36">
        <f>ROUNDUP(H21*INDEX(テーブル!$N$4:$R$7,MATCH(H21,テーブル!$M$4:$M$7,1),MATCH(E21,テーブル!$N$3:$R$3,1)),0)</f>
        <v>14618</v>
      </c>
    </row>
    <row r="22" spans="1:9">
      <c r="A22" s="3">
        <v>16</v>
      </c>
      <c r="B22" s="15" t="str">
        <f>VLOOKUP(A22,テーブル!$A$3:$C$8,2,0)</f>
        <v>Ｆ商品</v>
      </c>
      <c r="C22" s="4">
        <v>101</v>
      </c>
      <c r="D22" s="4" t="str">
        <f>VLOOKUP(C22,テーブル!$E$3:$H$6,2,0)</f>
        <v>長谷川商事</v>
      </c>
      <c r="E22" s="55">
        <v>215</v>
      </c>
      <c r="F22" s="29">
        <f>ROUNDDOWN(VLOOKUP(A22,テーブル!$A$3:$C$8,3,0)*(1+VLOOKUP(E22,テーブル!$J$3:$K$5,2,1)),-1)</f>
        <v>2580</v>
      </c>
      <c r="G22" s="30">
        <f t="shared" si="0"/>
        <v>42160</v>
      </c>
      <c r="H22" s="31">
        <f t="shared" si="1"/>
        <v>512540</v>
      </c>
      <c r="I22" s="36">
        <f>ROUNDUP(H22*INDEX(テーブル!$N$4:$R$7,MATCH(H22,テーブル!$M$4:$M$7,1),MATCH(E22,テーブル!$N$3:$R$3,1)),0)</f>
        <v>15889</v>
      </c>
    </row>
    <row r="23" spans="1:9">
      <c r="A23" s="3">
        <v>16</v>
      </c>
      <c r="B23" s="15" t="str">
        <f>VLOOKUP(A23,テーブル!$A$3:$C$8,2,0)</f>
        <v>Ｆ商品</v>
      </c>
      <c r="C23" s="4">
        <v>102</v>
      </c>
      <c r="D23" s="4" t="str">
        <f>VLOOKUP(C23,テーブル!$E$3:$H$6,2,0)</f>
        <v>新生百貨店</v>
      </c>
      <c r="E23" s="55">
        <v>85</v>
      </c>
      <c r="F23" s="29">
        <f>ROUNDDOWN(VLOOKUP(A23,テーブル!$A$3:$C$8,3,0)*(1+VLOOKUP(E23,テーブル!$J$3:$K$5,2,1)),-1)</f>
        <v>2620</v>
      </c>
      <c r="G23" s="30">
        <f t="shared" si="0"/>
        <v>14260</v>
      </c>
      <c r="H23" s="31">
        <f t="shared" si="1"/>
        <v>208440</v>
      </c>
      <c r="I23" s="36">
        <f>ROUNDUP(H23*INDEX(テーブル!$N$4:$R$7,MATCH(H23,テーブル!$M$4:$M$7,1),MATCH(E23,テーブル!$N$3:$R$3,1)),0)</f>
        <v>12507</v>
      </c>
    </row>
    <row r="24" spans="1:9">
      <c r="A24" s="3">
        <v>16</v>
      </c>
      <c r="B24" s="15" t="str">
        <f>VLOOKUP(A24,テーブル!$A$3:$C$8,2,0)</f>
        <v>Ｆ商品</v>
      </c>
      <c r="C24" s="4">
        <v>103</v>
      </c>
      <c r="D24" s="4" t="str">
        <f>VLOOKUP(C24,テーブル!$E$3:$H$6,2,0)</f>
        <v>ＪＫストア</v>
      </c>
      <c r="E24" s="55">
        <v>105</v>
      </c>
      <c r="F24" s="29">
        <f>ROUNDDOWN(VLOOKUP(A24,テーブル!$A$3:$C$8,3,0)*(1+VLOOKUP(E24,テーブル!$J$3:$K$5,2,1)),-1)</f>
        <v>2620</v>
      </c>
      <c r="G24" s="30">
        <f t="shared" si="0"/>
        <v>17610</v>
      </c>
      <c r="H24" s="31">
        <f t="shared" si="1"/>
        <v>257490</v>
      </c>
      <c r="I24" s="36">
        <f>ROUNDUP(H24*INDEX(テーブル!$N$4:$R$7,MATCH(H24,テーブル!$M$4:$M$7,1),MATCH(E24,テーブル!$N$3:$R$3,1)),0)</f>
        <v>13132</v>
      </c>
    </row>
    <row r="25" spans="1:9">
      <c r="A25" s="3">
        <v>16</v>
      </c>
      <c r="B25" s="15" t="str">
        <f>VLOOKUP(A25,テーブル!$A$3:$C$8,2,0)</f>
        <v>Ｆ商品</v>
      </c>
      <c r="C25" s="4">
        <v>104</v>
      </c>
      <c r="D25" s="4" t="str">
        <f>VLOOKUP(C25,テーブル!$E$3:$H$6,2,0)</f>
        <v>アサヒ総業</v>
      </c>
      <c r="E25" s="55">
        <v>187</v>
      </c>
      <c r="F25" s="29">
        <f>ROUNDDOWN(VLOOKUP(A25,テーブル!$A$3:$C$8,3,0)*(1+VLOOKUP(E25,テーブル!$J$3:$K$5,2,1)),-1)</f>
        <v>2580</v>
      </c>
      <c r="G25" s="30">
        <f t="shared" si="0"/>
        <v>36670</v>
      </c>
      <c r="H25" s="31">
        <f t="shared" si="1"/>
        <v>445790</v>
      </c>
      <c r="I25" s="36">
        <f>ROUNDUP(H25*INDEX(テーブル!$N$4:$R$7,MATCH(H25,テーブル!$M$4:$M$7,1),MATCH(E25,テーブル!$N$3:$R$3,1)),0)</f>
        <v>14712</v>
      </c>
    </row>
    <row r="26" spans="1:9">
      <c r="A26" s="3"/>
      <c r="B26" s="4"/>
      <c r="C26" s="4"/>
      <c r="D26" s="4"/>
      <c r="E26" s="4"/>
      <c r="F26" s="4"/>
      <c r="G26" s="4"/>
      <c r="H26" s="4"/>
      <c r="I26" s="7"/>
    </row>
    <row r="27" spans="1:9" ht="14.25" thickBot="1">
      <c r="A27" s="8"/>
      <c r="B27" s="32" t="s">
        <v>1</v>
      </c>
      <c r="C27" s="33"/>
      <c r="D27" s="9"/>
      <c r="E27" s="34">
        <f>SUM(E2:E25)</f>
        <v>3429</v>
      </c>
      <c r="F27" s="34"/>
      <c r="G27" s="34">
        <f>SUM(G2:G25)</f>
        <v>621690</v>
      </c>
      <c r="H27" s="34">
        <f>SUM(H2:H25)</f>
        <v>8044020</v>
      </c>
      <c r="I27" s="35">
        <f>SUM(I2:I25)</f>
        <v>338404</v>
      </c>
    </row>
    <row r="29" spans="1:9">
      <c r="E29" s="18"/>
      <c r="F29" s="18"/>
      <c r="H29" s="18"/>
      <c r="I29" s="18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5"/>
  <sheetViews>
    <sheetView zoomScaleNormal="100" workbookViewId="0">
      <selection sqref="A1:D1"/>
    </sheetView>
  </sheetViews>
  <sheetFormatPr defaultRowHeight="13.5"/>
  <cols>
    <col min="1" max="1" width="7.5" style="1" bestFit="1" customWidth="1"/>
    <col min="2" max="2" width="9.625" style="1" customWidth="1"/>
    <col min="3" max="3" width="11.625" style="1" bestFit="1" customWidth="1"/>
    <col min="4" max="4" width="8.5" style="1" bestFit="1" customWidth="1"/>
    <col min="5" max="5" width="9" style="1" customWidth="1"/>
    <col min="6" max="6" width="7.5" style="1" bestFit="1" customWidth="1"/>
    <col min="7" max="7" width="11.625" style="1" bestFit="1" customWidth="1"/>
    <col min="8" max="8" width="7.5" style="1" bestFit="1" customWidth="1"/>
    <col min="9" max="9" width="10.5" style="1" bestFit="1" customWidth="1"/>
    <col min="10" max="10" width="8.5" style="1" bestFit="1" customWidth="1"/>
    <col min="11" max="11" width="7.5" style="1" bestFit="1" customWidth="1"/>
    <col min="12" max="12" width="10.5" style="1" bestFit="1" customWidth="1"/>
    <col min="13" max="13" width="8.5" style="1" bestFit="1" customWidth="1"/>
    <col min="14" max="14" width="7.5" style="1" bestFit="1" customWidth="1"/>
    <col min="15" max="15" width="11.625" style="1" bestFit="1" customWidth="1"/>
    <col min="16" max="16" width="8.5" style="1" bestFit="1" customWidth="1"/>
    <col min="17" max="17" width="9.5" style="1" bestFit="1" customWidth="1"/>
    <col min="18" max="18" width="8.5" style="1" bestFit="1" customWidth="1"/>
    <col min="19" max="19" width="11.625" style="1" bestFit="1" customWidth="1"/>
    <col min="20" max="20" width="5.5" style="1" bestFit="1" customWidth="1"/>
    <col min="21" max="21" width="9" style="1" customWidth="1"/>
    <col min="22" max="22" width="45" bestFit="1" customWidth="1"/>
    <col min="23" max="23" width="9.5" bestFit="1" customWidth="1"/>
    <col min="24" max="24" width="7.5" bestFit="1" customWidth="1"/>
    <col min="25" max="16384" width="9" style="1"/>
  </cols>
  <sheetData>
    <row r="1" spans="1:24" ht="14.25" thickBot="1">
      <c r="A1" s="73" t="s">
        <v>14</v>
      </c>
      <c r="B1" s="73"/>
      <c r="C1" s="73"/>
      <c r="D1" s="73"/>
      <c r="E1" s="16"/>
      <c r="F1" s="74" t="s">
        <v>18</v>
      </c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4">
      <c r="A2" s="12" t="s">
        <v>4</v>
      </c>
      <c r="B2" s="27" t="s">
        <v>9</v>
      </c>
      <c r="C2" s="27" t="s">
        <v>10</v>
      </c>
      <c r="D2" s="21" t="s">
        <v>22</v>
      </c>
      <c r="E2" s="13"/>
      <c r="F2" s="43"/>
      <c r="G2" s="44"/>
      <c r="H2" s="70" t="s">
        <v>32</v>
      </c>
      <c r="I2" s="71"/>
      <c r="J2" s="72"/>
      <c r="K2" s="70" t="s">
        <v>33</v>
      </c>
      <c r="L2" s="71"/>
      <c r="M2" s="72"/>
      <c r="N2" s="70" t="s">
        <v>34</v>
      </c>
      <c r="O2" s="71"/>
      <c r="P2" s="72"/>
      <c r="Q2" s="48"/>
      <c r="R2" s="48"/>
      <c r="S2" s="49"/>
      <c r="T2" s="50"/>
      <c r="V2" s="58" t="s">
        <v>50</v>
      </c>
      <c r="W2" s="59">
        <f>DSUM('７月前期'!$A$1:$I$25,7,W6:X7)</f>
        <v>202820</v>
      </c>
      <c r="X2" s="60"/>
    </row>
    <row r="3" spans="1:24">
      <c r="A3" s="68" t="s">
        <v>31</v>
      </c>
      <c r="B3" s="6">
        <f>DSUM('７月前期'!$A$1:$I$25,B$2,$C$14:$C$15)+DSUM('７月後期'!$A$1:$I$25,B$2,$C$14:$C$15)</f>
        <v>1204</v>
      </c>
      <c r="C3" s="6">
        <f>DSUM('７月前期'!$A$1:$I$25,C$2,$C$14:$C$15)+DSUM('７月後期'!$A$1:$I$25,C$2,$C$14:$C$15)</f>
        <v>2895640</v>
      </c>
      <c r="D3" s="5">
        <f>DSUM('７月前期'!$A$1:$I$25,D$2,$C$14:$C$15)+DSUM('７月後期'!$A$1:$I$25,D$2,$C$14:$C$15)</f>
        <v>113070</v>
      </c>
      <c r="F3" s="41" t="s">
        <v>7</v>
      </c>
      <c r="G3" s="42" t="s">
        <v>8</v>
      </c>
      <c r="H3" s="14" t="s">
        <v>9</v>
      </c>
      <c r="I3" s="14" t="s">
        <v>10</v>
      </c>
      <c r="J3" s="22" t="s">
        <v>22</v>
      </c>
      <c r="K3" s="14" t="s">
        <v>9</v>
      </c>
      <c r="L3" s="14" t="s">
        <v>10</v>
      </c>
      <c r="M3" s="22" t="s">
        <v>22</v>
      </c>
      <c r="N3" s="14" t="s">
        <v>9</v>
      </c>
      <c r="O3" s="14" t="s">
        <v>10</v>
      </c>
      <c r="P3" s="22" t="s">
        <v>22</v>
      </c>
      <c r="Q3" s="45" t="s">
        <v>39</v>
      </c>
      <c r="R3" s="45" t="s">
        <v>16</v>
      </c>
      <c r="S3" s="46" t="s">
        <v>15</v>
      </c>
      <c r="T3" s="47" t="s">
        <v>13</v>
      </c>
      <c r="V3" s="61" t="s">
        <v>47</v>
      </c>
      <c r="W3" s="36">
        <f>DCOUNTA('７月前期'!$A$1:$I$25,2,W8:X9)</f>
        <v>6</v>
      </c>
    </row>
    <row r="4" spans="1:24" ht="14.25" thickBot="1">
      <c r="A4" s="68" t="s">
        <v>27</v>
      </c>
      <c r="B4" s="6">
        <f>DSUM('７月前期'!$A$1:$I$25,B$2,$B$12:$B$13)+DSUM('７月後期'!$A$1:$I$25,B$2,$B$12:$B$13)</f>
        <v>1048</v>
      </c>
      <c r="C4" s="6">
        <f>DSUM('７月前期'!$A$1:$I$25,C$2,$B$12:$B$13)+DSUM('７月後期'!$A$1:$I$25,C$2,$B$12:$B$13)</f>
        <v>2866870</v>
      </c>
      <c r="D4" s="5">
        <f>DSUM('７月前期'!$A$1:$I$25,D$2,$B$12:$B$13)+DSUM('７月後期'!$A$1:$I$25,D$2,$B$12:$B$13)</f>
        <v>119929</v>
      </c>
      <c r="F4" s="3">
        <v>101</v>
      </c>
      <c r="G4" s="4" t="str">
        <f>VLOOKUP(F4,テーブル!$E$3:$H$6,2,0)</f>
        <v>長谷川商事</v>
      </c>
      <c r="H4" s="6">
        <f ca="1">DSUM(INDIRECT($H$2&amp;"!$A$1:$I$25"),H$3,$F$11:$F$12)</f>
        <v>830</v>
      </c>
      <c r="I4" s="6">
        <f ca="1">DSUM(INDIRECT($H$2&amp;"!$A$1:$I$25"),I$3,$F$11:$F$12)</f>
        <v>1920040</v>
      </c>
      <c r="J4" s="6">
        <f ca="1">DSUM(INDIRECT($H$2&amp;"!$A$1:$I$25"),J$3,$F$11:$F$12)</f>
        <v>79517</v>
      </c>
      <c r="K4" s="6">
        <f ca="1">DSUM(INDIRECT($K$2&amp;"!$A$1:$I$25"),K$3,$F$11:$F$12)</f>
        <v>836</v>
      </c>
      <c r="L4" s="6">
        <f t="shared" ref="L4:M4" ca="1" si="0">DSUM(INDIRECT($K$2&amp;"!$A$1:$I$25"),L$3,$F$11:$F$12)</f>
        <v>1967890</v>
      </c>
      <c r="M4" s="6">
        <f t="shared" ca="1" si="0"/>
        <v>84095</v>
      </c>
      <c r="N4" s="6">
        <f t="shared" ref="N4:P7" ca="1" si="1">H4+K4</f>
        <v>1666</v>
      </c>
      <c r="O4" s="6">
        <f t="shared" ca="1" si="1"/>
        <v>3887930</v>
      </c>
      <c r="P4" s="6">
        <f t="shared" ca="1" si="1"/>
        <v>163612</v>
      </c>
      <c r="Q4" s="57">
        <f ca="1">ROUNDUP(N4/VLOOKUP(F4,テーブル!$E$3:$H$6,3,0)*100,0)</f>
        <v>96</v>
      </c>
      <c r="R4" s="6">
        <f ca="1">ROUND(O4*VLOOKUP(F4,テーブル!$E$3:$H$6,4,0),-1)</f>
        <v>186620</v>
      </c>
      <c r="S4" s="6">
        <f ca="1">O4+P4-R4</f>
        <v>3864922</v>
      </c>
      <c r="T4" s="40" t="str">
        <f ca="1">IF(OR(O4&gt;=4100000,Q4&gt;=105),"好調","")</f>
        <v/>
      </c>
      <c r="V4" s="62" t="s">
        <v>49</v>
      </c>
      <c r="W4" s="63" t="str">
        <f>DGET('７月前期'!$A$1:$I$25,2,W10:W11)</f>
        <v>Ｆ商品</v>
      </c>
      <c r="X4" s="64"/>
    </row>
    <row r="5" spans="1:24" ht="14.25" thickBot="1">
      <c r="A5" s="68" t="s">
        <v>29</v>
      </c>
      <c r="B5" s="6">
        <f>DSUM('７月前期'!$A$1:$I$25,B$2,$A$14:$A$15)+DSUM('７月後期'!$A$1:$I$25,B$2,$A$14:$A$15)</f>
        <v>1059</v>
      </c>
      <c r="C5" s="6">
        <f>DSUM('７月前期'!$A$1:$I$25,C$2,$A$14:$A$15)+DSUM('７月後期'!$A$1:$I$25,C$2,$A$14:$A$15)</f>
        <v>2768280</v>
      </c>
      <c r="D5" s="5">
        <f>DSUM('７月前期'!$A$1:$I$25,D$2,$A$14:$A$15)+DSUM('７月後期'!$A$1:$I$25,D$2,$A$14:$A$15)</f>
        <v>117839</v>
      </c>
      <c r="F5" s="3">
        <v>102</v>
      </c>
      <c r="G5" s="4" t="str">
        <f>VLOOKUP(F5,テーブル!$E$3:$H$6,2,0)</f>
        <v>新生百貨店</v>
      </c>
      <c r="H5" s="6">
        <f ca="1">DSUM(INDIRECT($H$2&amp;"!$A$1:$I$25"),H$3,$G$11:$G$12)</f>
        <v>666</v>
      </c>
      <c r="I5" s="6">
        <f t="shared" ref="I5:J5" ca="1" si="2">DSUM(INDIRECT($H$2&amp;"!$A$1:$I$25"),I$3,$G$11:$G$12)</f>
        <v>1590030</v>
      </c>
      <c r="J5" s="6">
        <f t="shared" ca="1" si="2"/>
        <v>80426</v>
      </c>
      <c r="K5" s="6">
        <f ca="1">DSUM(INDIRECT($K$2&amp;"!$A$1:$I$25"),K$3,$G$11:$G$12)</f>
        <v>912</v>
      </c>
      <c r="L5" s="6">
        <f t="shared" ref="L5:M5" ca="1" si="3">DSUM(INDIRECT($K$2&amp;"!$A$1:$I$25"),L$3,$G$11:$G$12)</f>
        <v>2138060</v>
      </c>
      <c r="M5" s="6">
        <f t="shared" ca="1" si="3"/>
        <v>85932</v>
      </c>
      <c r="N5" s="6">
        <f t="shared" ca="1" si="1"/>
        <v>1578</v>
      </c>
      <c r="O5" s="6">
        <f t="shared" ca="1" si="1"/>
        <v>3728090</v>
      </c>
      <c r="P5" s="6">
        <f t="shared" ca="1" si="1"/>
        <v>166358</v>
      </c>
      <c r="Q5" s="57">
        <f ca="1">ROUNDUP(N5/VLOOKUP(F5,テーブル!$E$3:$H$6,3,0)*100,0)</f>
        <v>108</v>
      </c>
      <c r="R5" s="6">
        <f ca="1">ROUND(O5*VLOOKUP(F5,テーブル!$E$3:$H$6,4,0),-1)</f>
        <v>171490</v>
      </c>
      <c r="S5" s="6">
        <f ca="1">O5+P5-R5</f>
        <v>3722958</v>
      </c>
      <c r="T5" s="40" t="str">
        <f t="shared" ref="T5:T7" ca="1" si="4">IF(OR(O5&gt;=4100000,Q5&gt;=105),"好調","")</f>
        <v>好調</v>
      </c>
    </row>
    <row r="6" spans="1:24">
      <c r="A6" s="68" t="s">
        <v>28</v>
      </c>
      <c r="B6" s="6">
        <f>DSUM('７月前期'!$A$1:$I$25,B$2,$C$12:$C$13)+DSUM('７月後期'!$A$1:$I$25,B$2,$C$12:$C$13)</f>
        <v>1214</v>
      </c>
      <c r="C6" s="6">
        <f>DSUM('７月前期'!$A$1:$I$25,C$2,$C$12:$C$13)+DSUM('７月後期'!$A$1:$I$25,C$2,$C$12:$C$13)</f>
        <v>2668710</v>
      </c>
      <c r="D6" s="5">
        <f>DSUM('７月前期'!$A$1:$I$25,D$2,$C$12:$C$13)+DSUM('７月後期'!$A$1:$I$25,D$2,$C$12:$C$13)</f>
        <v>107482</v>
      </c>
      <c r="F6" s="3">
        <v>103</v>
      </c>
      <c r="G6" s="4" t="str">
        <f>VLOOKUP(F6,テーブル!$E$3:$H$6,2,0)</f>
        <v>ＪＫストア</v>
      </c>
      <c r="H6" s="6">
        <f ca="1">DSUM(INDIRECT($H$2&amp;"!$A$1:$I$25"),H$3,$H$11:$H$12)</f>
        <v>957</v>
      </c>
      <c r="I6" s="6">
        <f ca="1">DSUM(INDIRECT($H$2&amp;"!$A$1:$I$25"),I$3,$H$11:$H$12)</f>
        <v>2231830</v>
      </c>
      <c r="J6" s="6">
        <f ca="1">DSUM(INDIRECT($H$2&amp;"!$A$1:$I$25"),J$3,$H$11:$H$12)</f>
        <v>86719</v>
      </c>
      <c r="K6" s="6">
        <f ca="1">DSUM(INDIRECT($K$2&amp;"!$A$1:$I$25"),K$3,$H$11:$H$12)</f>
        <v>782</v>
      </c>
      <c r="L6" s="6">
        <f t="shared" ref="L6:M6" ca="1" si="5">DSUM(INDIRECT($K$2&amp;"!$A$1:$I$25"),L$3,$H$11:$H$12)</f>
        <v>1859290</v>
      </c>
      <c r="M6" s="6">
        <f t="shared" ca="1" si="5"/>
        <v>80903</v>
      </c>
      <c r="N6" s="6">
        <f t="shared" ca="1" si="1"/>
        <v>1739</v>
      </c>
      <c r="O6" s="6">
        <f t="shared" ca="1" si="1"/>
        <v>4091120</v>
      </c>
      <c r="P6" s="6">
        <f t="shared" ca="1" si="1"/>
        <v>167622</v>
      </c>
      <c r="Q6" s="57">
        <f ca="1">ROUNDUP(N6/VLOOKUP(F6,テーブル!$E$3:$H$6,3,0)*100,0)</f>
        <v>96</v>
      </c>
      <c r="R6" s="6">
        <f ca="1">ROUND(O6*VLOOKUP(F6,テーブル!$E$3:$H$6,4,0),-1)</f>
        <v>200460</v>
      </c>
      <c r="S6" s="6">
        <f ca="1">O6+P6-R6</f>
        <v>4058282</v>
      </c>
      <c r="T6" s="40" t="str">
        <f t="shared" ca="1" si="4"/>
        <v/>
      </c>
      <c r="W6" s="12" t="s">
        <v>40</v>
      </c>
      <c r="X6" s="28" t="s">
        <v>40</v>
      </c>
    </row>
    <row r="7" spans="1:24" ht="14.25" thickBot="1">
      <c r="A7" s="68" t="s">
        <v>30</v>
      </c>
      <c r="B7" s="6">
        <f>DSUM('７月前期'!$A$1:$I$25,B$2,$B$14:$B$15)+DSUM('７月後期'!$A$1:$I$25,B$2,$B$14:$B$15)</f>
        <v>1112</v>
      </c>
      <c r="C7" s="6">
        <f>DSUM('７月前期'!$A$1:$I$25,C$2,$B$14:$B$15)+DSUM('７月後期'!$A$1:$I$25,C$2,$B$14:$B$15)</f>
        <v>2370210</v>
      </c>
      <c r="D7" s="5">
        <f>DSUM('７月前期'!$A$1:$I$25,D$2,$B$14:$B$15)+DSUM('７月後期'!$A$1:$I$25,D$2,$B$14:$B$15)</f>
        <v>106904</v>
      </c>
      <c r="F7" s="3">
        <v>104</v>
      </c>
      <c r="G7" s="4" t="str">
        <f>VLOOKUP(F7,テーブル!$E$3:$H$6,2,0)</f>
        <v>アサヒ総業</v>
      </c>
      <c r="H7" s="6">
        <f ca="1">DSUM(INDIRECT($H$2&amp;"!$A$1:$I$25"),H$3,$I$11:$I$12)</f>
        <v>903</v>
      </c>
      <c r="I7" s="6">
        <f ca="1">DSUM(INDIRECT($H$2&amp;"!$A$1:$I$25"),I$3,$I$11:$I$12)</f>
        <v>2084530</v>
      </c>
      <c r="J7" s="6">
        <f ca="1">DSUM(INDIRECT($H$2&amp;"!$A$1:$I$25"),J$3,$I$11:$I$12)</f>
        <v>86074</v>
      </c>
      <c r="K7" s="6">
        <f ca="1">DSUM(INDIRECT($K$2&amp;"!$A$1:$I$25"),K$3,$I$11:$I$12)</f>
        <v>899</v>
      </c>
      <c r="L7" s="6">
        <f t="shared" ref="L7:M7" ca="1" si="6">DSUM(INDIRECT($K$2&amp;"!$A$1:$I$25"),L$3,$I$11:$I$12)</f>
        <v>2078780</v>
      </c>
      <c r="M7" s="6">
        <f t="shared" ca="1" si="6"/>
        <v>87474</v>
      </c>
      <c r="N7" s="6">
        <f t="shared" ca="1" si="1"/>
        <v>1802</v>
      </c>
      <c r="O7" s="6">
        <f t="shared" ca="1" si="1"/>
        <v>4163310</v>
      </c>
      <c r="P7" s="6">
        <f t="shared" ca="1" si="1"/>
        <v>173548</v>
      </c>
      <c r="Q7" s="57">
        <f ca="1">ROUNDUP(N7/VLOOKUP(F7,テーブル!$E$3:$H$6,3,0)*100,0)</f>
        <v>104</v>
      </c>
      <c r="R7" s="6">
        <f ca="1">ROUND(O7*VLOOKUP(F7,テーブル!$E$3:$H$6,4,0),-1)</f>
        <v>195680</v>
      </c>
      <c r="S7" s="6">
        <f ca="1">O7+P7-R7</f>
        <v>4141178</v>
      </c>
      <c r="T7" s="40" t="str">
        <f t="shared" ca="1" si="4"/>
        <v>好調</v>
      </c>
      <c r="W7" s="65" t="s">
        <v>41</v>
      </c>
      <c r="X7" s="66" t="s">
        <v>42</v>
      </c>
    </row>
    <row r="8" spans="1:24">
      <c r="A8" s="68" t="s">
        <v>26</v>
      </c>
      <c r="B8" s="6">
        <f>DSUM('７月前期'!$A$1:$I$25,B$2,$A$12:$A$13)+DSUM('７月後期'!$A$1:$I$25,B$2,$A$12:$A$13)</f>
        <v>1148</v>
      </c>
      <c r="C8" s="6">
        <f>DSUM('７月前期'!$A$1:$I$25,C$2,$A$12:$A$13)+DSUM('７月後期'!$A$1:$I$25,C$2,$A$12:$A$13)</f>
        <v>2300740</v>
      </c>
      <c r="D8" s="5">
        <f>DSUM('７月前期'!$A$1:$I$25,D$2,$A$12:$A$13)+DSUM('７月後期'!$A$1:$I$25,D$2,$A$12:$A$13)</f>
        <v>105916</v>
      </c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7"/>
      <c r="W8" s="41" t="s">
        <v>43</v>
      </c>
      <c r="X8" s="47" t="s">
        <v>45</v>
      </c>
    </row>
    <row r="9" spans="1:24" ht="14.25" thickBot="1">
      <c r="A9" s="3"/>
      <c r="B9" s="4"/>
      <c r="C9" s="4"/>
      <c r="D9" s="7"/>
      <c r="F9" s="8"/>
      <c r="G9" s="9" t="s">
        <v>0</v>
      </c>
      <c r="H9" s="10">
        <f ca="1">SUM(H4:H7)</f>
        <v>3356</v>
      </c>
      <c r="I9" s="10">
        <f t="shared" ref="I9:M9" ca="1" si="7">SUM(I4:I7)</f>
        <v>7826430</v>
      </c>
      <c r="J9" s="10">
        <f t="shared" ca="1" si="7"/>
        <v>332736</v>
      </c>
      <c r="K9" s="10">
        <f ca="1">SUM(K4:K7)</f>
        <v>3429</v>
      </c>
      <c r="L9" s="10">
        <f t="shared" ca="1" si="7"/>
        <v>8044020</v>
      </c>
      <c r="M9" s="10">
        <f t="shared" ca="1" si="7"/>
        <v>338404</v>
      </c>
      <c r="N9" s="10">
        <f ca="1">SUM(N4:N7)</f>
        <v>6785</v>
      </c>
      <c r="O9" s="10">
        <f t="shared" ref="O9:P9" ca="1" si="8">SUM(O4:O7)</f>
        <v>15870450</v>
      </c>
      <c r="P9" s="10">
        <f t="shared" ca="1" si="8"/>
        <v>671140</v>
      </c>
      <c r="Q9" s="10"/>
      <c r="R9" s="10">
        <f ca="1">SUM(R4:R7)</f>
        <v>754250</v>
      </c>
      <c r="S9" s="10">
        <f ca="1">SUM(S4:S7)</f>
        <v>15787340</v>
      </c>
      <c r="T9" s="25"/>
      <c r="W9" s="65" t="s">
        <v>44</v>
      </c>
      <c r="X9" s="66" t="s">
        <v>46</v>
      </c>
    </row>
    <row r="10" spans="1:24" ht="14.25" thickBot="1">
      <c r="A10" s="24" t="s">
        <v>0</v>
      </c>
      <c r="B10" s="10">
        <f>SUM(B3:B8)</f>
        <v>6785</v>
      </c>
      <c r="C10" s="10">
        <f t="shared" ref="C10:D10" si="9">SUM(C3:C8)</f>
        <v>15870450</v>
      </c>
      <c r="D10" s="25">
        <f t="shared" si="9"/>
        <v>671140</v>
      </c>
      <c r="H10" s="18"/>
      <c r="I10" s="18"/>
      <c r="J10" s="18"/>
      <c r="K10" s="18"/>
      <c r="L10" s="18"/>
      <c r="N10" s="18"/>
      <c r="O10" s="18"/>
      <c r="W10" s="17" t="s">
        <v>48</v>
      </c>
      <c r="X10" s="13"/>
    </row>
    <row r="11" spans="1:24" ht="14.25" thickBot="1">
      <c r="B11" s="18"/>
      <c r="C11" s="18"/>
      <c r="D11" s="18"/>
      <c r="F11" s="17" t="s">
        <v>7</v>
      </c>
      <c r="G11" s="17" t="s">
        <v>7</v>
      </c>
      <c r="H11" s="17" t="s">
        <v>7</v>
      </c>
      <c r="I11" s="17" t="s">
        <v>7</v>
      </c>
      <c r="K11" s="18"/>
      <c r="L11" s="18"/>
      <c r="M11" s="18"/>
      <c r="S11" s="23"/>
      <c r="W11" s="67">
        <f>MAX('７月前期'!H2:H25)</f>
        <v>524460</v>
      </c>
    </row>
    <row r="12" spans="1:24" ht="14.25" thickBot="1">
      <c r="A12" s="17" t="s">
        <v>4</v>
      </c>
      <c r="B12" s="38" t="s">
        <v>4</v>
      </c>
      <c r="C12" s="38" t="s">
        <v>4</v>
      </c>
      <c r="F12" s="11">
        <v>101</v>
      </c>
      <c r="G12" s="11">
        <v>102</v>
      </c>
      <c r="H12" s="11">
        <v>103</v>
      </c>
      <c r="I12" s="11">
        <v>104</v>
      </c>
      <c r="K12" s="18"/>
      <c r="L12" s="20"/>
    </row>
    <row r="13" spans="1:24" ht="14.25" thickBot="1">
      <c r="A13" s="19" t="s">
        <v>26</v>
      </c>
      <c r="B13" s="39" t="s">
        <v>27</v>
      </c>
      <c r="C13" s="39" t="s">
        <v>28</v>
      </c>
      <c r="H13" s="18"/>
      <c r="K13" s="18"/>
    </row>
    <row r="14" spans="1:24">
      <c r="A14" s="17" t="s">
        <v>4</v>
      </c>
      <c r="B14" s="38" t="s">
        <v>4</v>
      </c>
      <c r="C14" s="38" t="s">
        <v>4</v>
      </c>
      <c r="O14" s="23"/>
    </row>
    <row r="15" spans="1:24" ht="14.25" thickBot="1">
      <c r="A15" s="19" t="s">
        <v>29</v>
      </c>
      <c r="B15" s="39" t="s">
        <v>30</v>
      </c>
      <c r="C15" s="39" t="s">
        <v>31</v>
      </c>
      <c r="O15" s="23"/>
    </row>
  </sheetData>
  <sortState xmlns:xlrd2="http://schemas.microsoft.com/office/spreadsheetml/2017/richdata2" ref="A3:D8">
    <sortCondition descending="1" ref="C3:C8"/>
  </sortState>
  <mergeCells count="5">
    <mergeCell ref="H2:J2"/>
    <mergeCell ref="K2:M2"/>
    <mergeCell ref="N2:P2"/>
    <mergeCell ref="A1:D1"/>
    <mergeCell ref="F1:T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７月前期</vt:lpstr>
      <vt:lpstr>７月後期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2022-07-29T07:06:42Z</cp:lastPrinted>
  <dcterms:created xsi:type="dcterms:W3CDTF">2012-06-19T05:36:06Z</dcterms:created>
  <dcterms:modified xsi:type="dcterms:W3CDTF">2025-02-04T01:48:00Z</dcterms:modified>
</cp:coreProperties>
</file>