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01\移行用フォルダー\問題集\1表計算\2025(令和07)年度\3_SP初段\模範解答\"/>
    </mc:Choice>
  </mc:AlternateContent>
  <xr:revisionPtr revIDLastSave="0" documentId="13_ncr:1_{4EFE58B4-603A-484D-AC91-E269B47BEB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1" r:id="rId1"/>
    <sheet name="データ表" sheetId="5" r:id="rId2"/>
    <sheet name="計算表" sheetId="6" r:id="rId3"/>
  </sheets>
  <definedNames>
    <definedName name="_xlnm._FilterDatabase" localSheetId="1" hidden="1">データ表!$A$1:$J$33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6" l="1"/>
  <c r="D5" i="6"/>
  <c r="D4" i="6"/>
  <c r="D3" i="6"/>
  <c r="E35" i="5"/>
  <c r="J33" i="5"/>
  <c r="J29" i="5"/>
  <c r="J30" i="5"/>
  <c r="J31" i="5"/>
  <c r="J3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" i="5"/>
  <c r="G2" i="5"/>
  <c r="H2" i="5" s="1"/>
  <c r="R2" i="6" l="1"/>
  <c r="G3" i="5"/>
  <c r="H3" i="5" s="1"/>
  <c r="G4" i="5"/>
  <c r="H4" i="5" s="1"/>
  <c r="G5" i="5"/>
  <c r="H5" i="5" s="1"/>
  <c r="G6" i="5"/>
  <c r="H6" i="5" s="1"/>
  <c r="G7" i="5"/>
  <c r="H7" i="5" s="1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G15" i="5"/>
  <c r="H15" i="5" s="1"/>
  <c r="G16" i="5"/>
  <c r="H16" i="5" s="1"/>
  <c r="G17" i="5"/>
  <c r="H17" i="5" s="1"/>
  <c r="G18" i="5"/>
  <c r="H18" i="5" s="1"/>
  <c r="G19" i="5"/>
  <c r="H19" i="5" s="1"/>
  <c r="G20" i="5"/>
  <c r="H20" i="5" s="1"/>
  <c r="G21" i="5"/>
  <c r="H21" i="5" s="1"/>
  <c r="G22" i="5"/>
  <c r="H22" i="5" s="1"/>
  <c r="G23" i="5"/>
  <c r="H23" i="5" s="1"/>
  <c r="G24" i="5"/>
  <c r="H24" i="5" s="1"/>
  <c r="G25" i="5"/>
  <c r="H25" i="5" s="1"/>
  <c r="G26" i="5"/>
  <c r="H26" i="5" s="1"/>
  <c r="G27" i="5"/>
  <c r="H27" i="5" s="1"/>
  <c r="G28" i="5"/>
  <c r="H28" i="5" s="1"/>
  <c r="G29" i="5"/>
  <c r="H29" i="5" s="1"/>
  <c r="G30" i="5"/>
  <c r="H30" i="5" s="1"/>
  <c r="G31" i="5"/>
  <c r="H31" i="5" s="1"/>
  <c r="G32" i="5"/>
  <c r="H32" i="5" s="1"/>
  <c r="G33" i="5"/>
  <c r="H33" i="5" s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2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R11" i="6" l="1"/>
  <c r="J4" i="6"/>
  <c r="J5" i="6"/>
  <c r="J6" i="6"/>
  <c r="J7" i="6"/>
  <c r="J8" i="6"/>
  <c r="J9" i="6"/>
  <c r="J10" i="6"/>
  <c r="J3" i="6"/>
  <c r="C6" i="6"/>
  <c r="C5" i="6"/>
  <c r="C3" i="6"/>
  <c r="C4" i="6"/>
  <c r="B4" i="6"/>
  <c r="B3" i="6"/>
  <c r="B5" i="6"/>
  <c r="B6" i="6"/>
  <c r="R3" i="6"/>
  <c r="R4" i="6"/>
  <c r="L3" i="6"/>
  <c r="M10" i="6"/>
  <c r="L10" i="6"/>
  <c r="K10" i="6"/>
  <c r="M9" i="6"/>
  <c r="L9" i="6"/>
  <c r="K9" i="6"/>
  <c r="M8" i="6"/>
  <c r="L8" i="6"/>
  <c r="K8" i="6"/>
  <c r="M7" i="6"/>
  <c r="L7" i="6"/>
  <c r="K7" i="6"/>
  <c r="M6" i="6"/>
  <c r="L6" i="6"/>
  <c r="K6" i="6"/>
  <c r="M5" i="6"/>
  <c r="L5" i="6"/>
  <c r="K5" i="6"/>
  <c r="M4" i="6"/>
  <c r="L4" i="6"/>
  <c r="K4" i="6"/>
  <c r="M3" i="6"/>
  <c r="K3" i="6"/>
  <c r="B8" i="6" l="1"/>
  <c r="E4" i="6"/>
  <c r="F4" i="6" s="1"/>
  <c r="G4" i="6" s="1"/>
  <c r="E3" i="6"/>
  <c r="F3" i="6" s="1"/>
  <c r="G3" i="6" s="1"/>
  <c r="E5" i="6"/>
  <c r="F5" i="6" s="1"/>
  <c r="G5" i="6" s="1"/>
  <c r="E6" i="6"/>
  <c r="F6" i="6" s="1"/>
  <c r="G6" i="6" s="1"/>
  <c r="N9" i="6"/>
  <c r="N7" i="6"/>
  <c r="N5" i="6"/>
  <c r="D8" i="6"/>
  <c r="N3" i="6"/>
  <c r="N4" i="6"/>
  <c r="N6" i="6"/>
  <c r="N8" i="6"/>
  <c r="N10" i="6"/>
  <c r="F35" i="5"/>
  <c r="O3" i="6" l="1"/>
  <c r="H35" i="5"/>
  <c r="J35" i="5"/>
  <c r="C8" i="6" l="1"/>
  <c r="O4" i="6" l="1"/>
  <c r="O5" i="6"/>
  <c r="O6" i="6"/>
  <c r="O7" i="6"/>
  <c r="O8" i="6"/>
  <c r="O9" i="6"/>
  <c r="O10" i="6"/>
  <c r="E8" i="6" l="1"/>
  <c r="F8" i="6"/>
</calcChain>
</file>

<file path=xl/sharedStrings.xml><?xml version="1.0" encoding="utf-8"?>
<sst xmlns="http://schemas.openxmlformats.org/spreadsheetml/2006/main" count="124" uniqueCount="66">
  <si>
    <t>商ＣＯ</t>
  </si>
  <si>
    <t>商品名</t>
  </si>
  <si>
    <t>＜商品テーブル＞</t>
  </si>
  <si>
    <t>合　計</t>
  </si>
  <si>
    <t>割引額</t>
  </si>
  <si>
    <t>請求額</t>
  </si>
  <si>
    <t>A</t>
  </si>
  <si>
    <t>B</t>
  </si>
  <si>
    <t>C</t>
  </si>
  <si>
    <t>日数</t>
  </si>
  <si>
    <t>乗率</t>
  </si>
  <si>
    <t>貸出料金</t>
  </si>
  <si>
    <t>ＯＰ</t>
  </si>
  <si>
    <t>ＯＰ料金</t>
  </si>
  <si>
    <t>料金合計</t>
  </si>
  <si>
    <t>1～9</t>
  </si>
  <si>
    <t>10～19</t>
  </si>
  <si>
    <t>＜乗率表＞</t>
    <phoneticPr fontId="1"/>
  </si>
  <si>
    <t>合　計</t>
    <phoneticPr fontId="1"/>
  </si>
  <si>
    <t>ＯＰ単価</t>
    <rPh sb="2" eb="4">
      <t>タンカ</t>
    </rPh>
    <phoneticPr fontId="1"/>
  </si>
  <si>
    <t>ＯＰ</t>
    <phoneticPr fontId="1"/>
  </si>
  <si>
    <t>日数</t>
    <rPh sb="0" eb="2">
      <t>ニッスウ</t>
    </rPh>
    <phoneticPr fontId="1"/>
  </si>
  <si>
    <t>構成比率</t>
    <rPh sb="0" eb="4">
      <t>コウセイヒリツ</t>
    </rPh>
    <phoneticPr fontId="1"/>
  </si>
  <si>
    <t>B</t>
    <phoneticPr fontId="1"/>
  </si>
  <si>
    <t>C</t>
    <phoneticPr fontId="1"/>
  </si>
  <si>
    <t>A</t>
    <phoneticPr fontId="1"/>
  </si>
  <si>
    <t>貸出料金</t>
    <rPh sb="0" eb="4">
      <t>カシダシリョウキン</t>
    </rPh>
    <phoneticPr fontId="1"/>
  </si>
  <si>
    <t>貸出数</t>
  </si>
  <si>
    <t>貸出数</t>
    <rPh sb="0" eb="3">
      <t>カシダシスウ</t>
    </rPh>
    <phoneticPr fontId="1"/>
  </si>
  <si>
    <t>協栄商事</t>
    <rPh sb="0" eb="2">
      <t>キョウエイ</t>
    </rPh>
    <rPh sb="2" eb="4">
      <t>ショウジ</t>
    </rPh>
    <phoneticPr fontId="1"/>
  </si>
  <si>
    <t>松山工業</t>
    <rPh sb="0" eb="2">
      <t>マツヤマ</t>
    </rPh>
    <rPh sb="2" eb="4">
      <t>コウギョウ</t>
    </rPh>
    <phoneticPr fontId="1"/>
  </si>
  <si>
    <t>山田建設</t>
    <rPh sb="0" eb="2">
      <t>ヤマダ</t>
    </rPh>
    <rPh sb="2" eb="4">
      <t>ケンセツ</t>
    </rPh>
    <phoneticPr fontId="1"/>
  </si>
  <si>
    <t>赤井物産</t>
    <rPh sb="0" eb="2">
      <t>アカイ</t>
    </rPh>
    <phoneticPr fontId="1"/>
  </si>
  <si>
    <t>Ｊ商品</t>
  </si>
  <si>
    <t>Ｊ商品</t>
    <phoneticPr fontId="1"/>
  </si>
  <si>
    <t>Ｋ商品</t>
    <rPh sb="1" eb="3">
      <t>ショウヒン</t>
    </rPh>
    <phoneticPr fontId="1"/>
  </si>
  <si>
    <t>Ｌ商品</t>
  </si>
  <si>
    <t>Ｌ商品</t>
    <phoneticPr fontId="1"/>
  </si>
  <si>
    <t>Ｍ商品</t>
  </si>
  <si>
    <t>Ｍ商品</t>
    <phoneticPr fontId="1"/>
  </si>
  <si>
    <t>Ｎ商品</t>
  </si>
  <si>
    <t>Ｎ商品</t>
    <phoneticPr fontId="1"/>
  </si>
  <si>
    <t>Ｏ商品</t>
    <rPh sb="1" eb="3">
      <t>ショウヒン</t>
    </rPh>
    <phoneticPr fontId="1"/>
  </si>
  <si>
    <t>Ｐ商品</t>
  </si>
  <si>
    <t>Ｐ商品</t>
    <phoneticPr fontId="1"/>
  </si>
  <si>
    <t>Ｑ商品</t>
  </si>
  <si>
    <t>Ｑ商品</t>
    <phoneticPr fontId="1"/>
  </si>
  <si>
    <t>&lt;&gt;山田建設</t>
    <rPh sb="2" eb="4">
      <t>ヤマダ</t>
    </rPh>
    <rPh sb="4" eb="6">
      <t>ケンセツ</t>
    </rPh>
    <phoneticPr fontId="1"/>
  </si>
  <si>
    <t>貸出数</t>
    <rPh sb="0" eb="3">
      <t>カシダシスウ</t>
    </rPh>
    <phoneticPr fontId="1"/>
  </si>
  <si>
    <t>&gt;7</t>
    <phoneticPr fontId="1"/>
  </si>
  <si>
    <t>&gt;9</t>
    <phoneticPr fontId="1"/>
  </si>
  <si>
    <t>&lt;14</t>
    <phoneticPr fontId="1"/>
  </si>
  <si>
    <t>&lt;6</t>
    <phoneticPr fontId="1"/>
  </si>
  <si>
    <t>日数が9超14未満で貸出数が6未満のＯＰ料金の合計</t>
    <rPh sb="4" eb="5">
      <t>チョウ</t>
    </rPh>
    <rPh sb="7" eb="9">
      <t>ミマン</t>
    </rPh>
    <rPh sb="10" eb="13">
      <t>カシダシスウ</t>
    </rPh>
    <rPh sb="15" eb="17">
      <t>ミマン</t>
    </rPh>
    <rPh sb="20" eb="22">
      <t>リョウキン</t>
    </rPh>
    <phoneticPr fontId="1"/>
  </si>
  <si>
    <t>会ＣＯ</t>
    <rPh sb="0" eb="1">
      <t>カイ</t>
    </rPh>
    <phoneticPr fontId="1"/>
  </si>
  <si>
    <t>会社名</t>
    <rPh sb="0" eb="2">
      <t>カイシャ</t>
    </rPh>
    <phoneticPr fontId="1"/>
  </si>
  <si>
    <t>会社名</t>
    <rPh sb="0" eb="2">
      <t>カイシャ</t>
    </rPh>
    <phoneticPr fontId="1"/>
  </si>
  <si>
    <t>会社別計算表</t>
    <rPh sb="0" eb="2">
      <t>カイシャ</t>
    </rPh>
    <phoneticPr fontId="1"/>
  </si>
  <si>
    <t>　</t>
    <phoneticPr fontId="1"/>
  </si>
  <si>
    <t>料金単価</t>
    <rPh sb="0" eb="2">
      <t>リョウキン</t>
    </rPh>
    <rPh sb="2" eb="4">
      <t>タンカ</t>
    </rPh>
    <phoneticPr fontId="1"/>
  </si>
  <si>
    <t>料金単価</t>
    <rPh sb="0" eb="4">
      <t>キホンタンカ</t>
    </rPh>
    <phoneticPr fontId="1"/>
  </si>
  <si>
    <t>貸出料金が最小の会社名</t>
    <rPh sb="0" eb="4">
      <t>カシダシリョウキン</t>
    </rPh>
    <rPh sb="5" eb="7">
      <t>サイショウ</t>
    </rPh>
    <rPh sb="8" eb="11">
      <t>カイシャメイ</t>
    </rPh>
    <phoneticPr fontId="1"/>
  </si>
  <si>
    <t>会社名が山田建設以外で貸出数が7より多い件数</t>
    <rPh sb="2" eb="3">
      <t>メイ</t>
    </rPh>
    <rPh sb="6" eb="8">
      <t>ヤマダ</t>
    </rPh>
    <rPh sb="8" eb="10">
      <t>ケンセツ</t>
    </rPh>
    <rPh sb="10" eb="12">
      <t>イガイ</t>
    </rPh>
    <rPh sb="13" eb="16">
      <t>カシダシスウ</t>
    </rPh>
    <phoneticPr fontId="1"/>
  </si>
  <si>
    <t>商品別総括表</t>
    <rPh sb="3" eb="5">
      <t>ソウカツ</t>
    </rPh>
    <phoneticPr fontId="1"/>
  </si>
  <si>
    <t>＜会社テーブル＞</t>
    <rPh sb="1" eb="3">
      <t>カイシャ</t>
    </rPh>
    <phoneticPr fontId="1"/>
  </si>
  <si>
    <t>判定</t>
    <rPh sb="0" eb="2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</si>
</sst>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00%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2" applyFont="1" applyBorder="1">
      <alignment vertical="center"/>
    </xf>
    <xf numFmtId="38" fontId="0" fillId="0" borderId="6" xfId="2" applyFont="1" applyBorder="1">
      <alignment vertical="center"/>
    </xf>
    <xf numFmtId="38" fontId="0" fillId="0" borderId="8" xfId="2" applyFont="1" applyBorder="1">
      <alignment vertical="center"/>
    </xf>
    <xf numFmtId="38" fontId="0" fillId="0" borderId="9" xfId="2" applyFont="1" applyBorder="1">
      <alignment vertical="center"/>
    </xf>
    <xf numFmtId="3" fontId="0" fillId="0" borderId="0" xfId="0" applyNumberFormat="1">
      <alignment vertical="center"/>
    </xf>
    <xf numFmtId="0" fontId="3" fillId="0" borderId="0" xfId="0" applyFont="1">
      <alignment vertical="center"/>
    </xf>
    <xf numFmtId="9" fontId="0" fillId="0" borderId="1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2" applyFont="1" applyFill="1" applyBorder="1">
      <alignment vertical="center"/>
    </xf>
    <xf numFmtId="0" fontId="4" fillId="0" borderId="5" xfId="0" applyFont="1" applyBorder="1">
      <alignment vertical="center"/>
    </xf>
    <xf numFmtId="0" fontId="0" fillId="0" borderId="10" xfId="0" applyBorder="1" applyAlignment="1">
      <alignment horizontal="center" vertical="center"/>
    </xf>
    <xf numFmtId="4" fontId="0" fillId="0" borderId="0" xfId="0" applyNumberFormat="1">
      <alignment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>
      <alignment vertical="center"/>
    </xf>
    <xf numFmtId="38" fontId="0" fillId="0" borderId="4" xfId="2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9" xfId="1" applyNumberFormat="1" applyFont="1" applyBorder="1">
      <alignment vertical="center"/>
    </xf>
    <xf numFmtId="0" fontId="4" fillId="0" borderId="1" xfId="0" applyFont="1" applyBorder="1">
      <alignment vertical="center"/>
    </xf>
    <xf numFmtId="38" fontId="0" fillId="0" borderId="0" xfId="0" applyNumberFormat="1">
      <alignment vertical="center"/>
    </xf>
    <xf numFmtId="0" fontId="4" fillId="0" borderId="3" xfId="0" applyFont="1" applyBorder="1" applyAlignment="1">
      <alignment horizontal="center" vertical="center"/>
    </xf>
    <xf numFmtId="38" fontId="4" fillId="0" borderId="1" xfId="2" applyFont="1" applyBorder="1">
      <alignment vertical="center"/>
    </xf>
    <xf numFmtId="38" fontId="4" fillId="0" borderId="8" xfId="2" applyFont="1" applyBorder="1">
      <alignment vertical="center"/>
    </xf>
    <xf numFmtId="3" fontId="0" fillId="0" borderId="6" xfId="0" applyNumberFormat="1" applyBorder="1">
      <alignment vertical="center"/>
    </xf>
    <xf numFmtId="38" fontId="0" fillId="0" borderId="9" xfId="2" applyFont="1" applyFill="1" applyBorder="1">
      <alignment vertical="center"/>
    </xf>
    <xf numFmtId="0" fontId="4" fillId="0" borderId="7" xfId="0" applyFont="1" applyBorder="1">
      <alignment vertical="center"/>
    </xf>
    <xf numFmtId="38" fontId="0" fillId="0" borderId="16" xfId="2" applyFont="1" applyBorder="1">
      <alignment vertical="center"/>
    </xf>
    <xf numFmtId="38" fontId="0" fillId="0" borderId="1" xfId="2" applyFont="1" applyFill="1" applyBorder="1">
      <alignment vertical="center"/>
    </xf>
    <xf numFmtId="0" fontId="5" fillId="0" borderId="1" xfId="0" applyFont="1" applyBorder="1">
      <alignment vertical="center"/>
    </xf>
    <xf numFmtId="3" fontId="5" fillId="0" borderId="1" xfId="0" applyNumberFormat="1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2" xfId="0" applyBorder="1">
      <alignment vertical="center"/>
    </xf>
    <xf numFmtId="177" fontId="0" fillId="0" borderId="0" xfId="1" applyNumberFormat="1" applyFont="1">
      <alignment vertical="center"/>
    </xf>
    <xf numFmtId="0" fontId="4" fillId="0" borderId="2" xfId="0" applyFon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16" xfId="0" applyBorder="1">
      <alignment vertical="center"/>
    </xf>
    <xf numFmtId="9" fontId="5" fillId="0" borderId="1" xfId="1" applyFont="1" applyBorder="1">
      <alignment vertical="center"/>
    </xf>
    <xf numFmtId="3" fontId="0" fillId="0" borderId="9" xfId="0" applyNumberFormat="1" applyBorder="1">
      <alignment vertical="center"/>
    </xf>
    <xf numFmtId="0" fontId="0" fillId="0" borderId="20" xfId="0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料金合計の比較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計算表!$N$2</c:f>
              <c:strCache>
                <c:ptCount val="1"/>
                <c:pt idx="0">
                  <c:v>料金合計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計算表!$I$3:$I$10</c:f>
              <c:strCache>
                <c:ptCount val="8"/>
                <c:pt idx="0">
                  <c:v>Ｊ商品</c:v>
                </c:pt>
                <c:pt idx="1">
                  <c:v>Ｋ商品</c:v>
                </c:pt>
                <c:pt idx="2">
                  <c:v>Ｌ商品</c:v>
                </c:pt>
                <c:pt idx="3">
                  <c:v>Ｍ商品</c:v>
                </c:pt>
                <c:pt idx="4">
                  <c:v>Ｎ商品</c:v>
                </c:pt>
                <c:pt idx="5">
                  <c:v>Ｏ商品</c:v>
                </c:pt>
                <c:pt idx="6">
                  <c:v>Ｐ商品</c:v>
                </c:pt>
                <c:pt idx="7">
                  <c:v>Ｑ商品</c:v>
                </c:pt>
              </c:strCache>
            </c:strRef>
          </c:cat>
          <c:val>
            <c:numRef>
              <c:f>計算表!$N$3:$N$10</c:f>
              <c:numCache>
                <c:formatCode>#,##0_);[Red]\(#,##0\)</c:formatCode>
                <c:ptCount val="8"/>
                <c:pt idx="0">
                  <c:v>1352170</c:v>
                </c:pt>
                <c:pt idx="1">
                  <c:v>852390</c:v>
                </c:pt>
                <c:pt idx="2">
                  <c:v>1162700</c:v>
                </c:pt>
                <c:pt idx="3">
                  <c:v>921850</c:v>
                </c:pt>
                <c:pt idx="4">
                  <c:v>862930</c:v>
                </c:pt>
                <c:pt idx="5">
                  <c:v>900820</c:v>
                </c:pt>
                <c:pt idx="6">
                  <c:v>754370</c:v>
                </c:pt>
                <c:pt idx="7">
                  <c:v>581700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DB-4459-8A43-7546DD393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59392"/>
        <c:axId val="122061184"/>
      </c:barChart>
      <c:catAx>
        <c:axId val="12205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22061184"/>
        <c:crosses val="autoZero"/>
        <c:auto val="1"/>
        <c:lblAlgn val="ctr"/>
        <c:lblOffset val="100"/>
        <c:noMultiLvlLbl val="0"/>
      </c:catAx>
      <c:valAx>
        <c:axId val="1220611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22059392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 baseline="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請求額の構成比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計算表!$F$2</c:f>
              <c:strCache>
                <c:ptCount val="1"/>
                <c:pt idx="0">
                  <c:v>請求額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計算表!$A$3:$A$6</c:f>
              <c:strCache>
                <c:ptCount val="4"/>
                <c:pt idx="0">
                  <c:v>山田建設</c:v>
                </c:pt>
                <c:pt idx="1">
                  <c:v>赤井物産</c:v>
                </c:pt>
                <c:pt idx="2">
                  <c:v>松山工業</c:v>
                </c:pt>
                <c:pt idx="3">
                  <c:v>協栄商事</c:v>
                </c:pt>
              </c:strCache>
            </c:strRef>
          </c:cat>
          <c:val>
            <c:numRef>
              <c:f>計算表!$F$3:$F$6</c:f>
              <c:numCache>
                <c:formatCode>#,##0</c:formatCode>
                <c:ptCount val="4"/>
                <c:pt idx="0">
                  <c:v>1977441</c:v>
                </c:pt>
                <c:pt idx="1">
                  <c:v>1819504</c:v>
                </c:pt>
                <c:pt idx="2">
                  <c:v>1672238</c:v>
                </c:pt>
                <c:pt idx="3">
                  <c:v>1428634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E1-4CE9-A9D1-4A236AEE294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 baseline="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361950</xdr:colOff>
      <xdr:row>15</xdr:row>
      <xdr:rowOff>161925</xdr:rowOff>
    </xdr:from>
    <xdr:to>
      <xdr:col>16</xdr:col>
      <xdr:colOff>1657350</xdr:colOff>
      <xdr:row>30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20F915-596B-28EC-79F6-6E56E6B0A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438150</xdr:colOff>
      <xdr:row>15</xdr:row>
      <xdr:rowOff>123825</xdr:rowOff>
    </xdr:from>
    <xdr:to>
      <xdr:col>7</xdr:col>
      <xdr:colOff>590550</xdr:colOff>
      <xdr:row>31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69068CD-CA17-1416-C752-FFF81D09B7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/>
  </sheetViews>
  <sheetFormatPr defaultRowHeight="13.5"/>
  <cols>
    <col min="1" max="1" width="7.5" bestFit="1" customWidth="1"/>
    <col min="2" max="2" width="9.5" bestFit="1" customWidth="1"/>
    <col min="3" max="3" width="5" customWidth="1"/>
    <col min="4" max="4" width="7.5" customWidth="1"/>
    <col min="5" max="5" width="7.5" bestFit="1" customWidth="1"/>
    <col min="6" max="6" width="9.5" bestFit="1" customWidth="1"/>
    <col min="7" max="9" width="5.625" customWidth="1"/>
    <col min="10" max="10" width="5" customWidth="1"/>
    <col min="11" max="11" width="9.5" bestFit="1" customWidth="1"/>
    <col min="12" max="12" width="5.5" bestFit="1" customWidth="1"/>
    <col min="13" max="13" width="7.5" bestFit="1" customWidth="1"/>
    <col min="14" max="14" width="5.25" customWidth="1"/>
  </cols>
  <sheetData>
    <row r="1" spans="1:13">
      <c r="A1" t="s">
        <v>64</v>
      </c>
      <c r="D1" t="s">
        <v>2</v>
      </c>
      <c r="K1" t="s">
        <v>17</v>
      </c>
    </row>
    <row r="2" spans="1:13">
      <c r="A2" s="1" t="s">
        <v>54</v>
      </c>
      <c r="B2" s="1" t="s">
        <v>55</v>
      </c>
      <c r="D2" s="59" t="s">
        <v>0</v>
      </c>
      <c r="E2" s="59" t="s">
        <v>1</v>
      </c>
      <c r="F2" s="59" t="s">
        <v>60</v>
      </c>
      <c r="G2" s="59" t="s">
        <v>19</v>
      </c>
      <c r="H2" s="59"/>
      <c r="I2" s="59"/>
      <c r="K2" s="57" t="s">
        <v>59</v>
      </c>
      <c r="L2" s="55" t="s">
        <v>9</v>
      </c>
      <c r="M2" s="56"/>
    </row>
    <row r="3" spans="1:13">
      <c r="A3" s="2">
        <v>11</v>
      </c>
      <c r="B3" s="32" t="s">
        <v>29</v>
      </c>
      <c r="D3" s="59"/>
      <c r="E3" s="59"/>
      <c r="F3" s="59"/>
      <c r="G3" s="60" t="s">
        <v>20</v>
      </c>
      <c r="H3" s="60"/>
      <c r="I3" s="60"/>
      <c r="K3" s="58"/>
      <c r="L3" s="1" t="s">
        <v>15</v>
      </c>
      <c r="M3" s="1" t="s">
        <v>16</v>
      </c>
    </row>
    <row r="4" spans="1:13">
      <c r="A4" s="2">
        <v>12</v>
      </c>
      <c r="B4" s="32" t="s">
        <v>30</v>
      </c>
      <c r="D4" s="59"/>
      <c r="E4" s="59"/>
      <c r="F4" s="59"/>
      <c r="G4" s="25" t="s">
        <v>6</v>
      </c>
      <c r="H4" s="25" t="s">
        <v>7</v>
      </c>
      <c r="I4" s="25" t="s">
        <v>8</v>
      </c>
      <c r="K4" s="2">
        <v>1</v>
      </c>
      <c r="L4" s="51">
        <v>1</v>
      </c>
      <c r="M4" s="51">
        <v>0.7</v>
      </c>
    </row>
    <row r="5" spans="1:13">
      <c r="A5" s="2">
        <v>13</v>
      </c>
      <c r="B5" s="32" t="s">
        <v>31</v>
      </c>
      <c r="D5" s="2">
        <v>101</v>
      </c>
      <c r="E5" s="42" t="s">
        <v>34</v>
      </c>
      <c r="F5" s="43">
        <v>6120</v>
      </c>
      <c r="G5" s="44">
        <v>518</v>
      </c>
      <c r="H5" s="44">
        <v>374</v>
      </c>
      <c r="I5" s="44">
        <v>301</v>
      </c>
      <c r="K5" s="3">
        <v>4000</v>
      </c>
      <c r="L5" s="51">
        <v>0.85</v>
      </c>
      <c r="M5" s="51">
        <v>0.65</v>
      </c>
    </row>
    <row r="6" spans="1:13">
      <c r="A6" s="2">
        <v>14</v>
      </c>
      <c r="B6" s="32" t="s">
        <v>32</v>
      </c>
      <c r="D6" s="2">
        <v>102</v>
      </c>
      <c r="E6" s="32" t="s">
        <v>35</v>
      </c>
      <c r="F6" s="43">
        <v>5470</v>
      </c>
      <c r="G6" s="44">
        <v>473</v>
      </c>
      <c r="H6" s="44">
        <v>341</v>
      </c>
      <c r="I6" s="44">
        <v>275</v>
      </c>
      <c r="K6" s="3">
        <v>5000</v>
      </c>
      <c r="L6" s="51">
        <v>0.8</v>
      </c>
      <c r="M6" s="51">
        <v>0.6</v>
      </c>
    </row>
    <row r="7" spans="1:13">
      <c r="D7" s="2">
        <v>103</v>
      </c>
      <c r="E7" s="32" t="s">
        <v>37</v>
      </c>
      <c r="F7" s="43">
        <v>5060</v>
      </c>
      <c r="G7" s="44">
        <v>444</v>
      </c>
      <c r="H7" s="44">
        <v>321</v>
      </c>
      <c r="I7" s="44">
        <v>259</v>
      </c>
    </row>
    <row r="8" spans="1:13">
      <c r="D8" s="2">
        <v>104</v>
      </c>
      <c r="E8" s="32" t="s">
        <v>39</v>
      </c>
      <c r="F8" s="43">
        <v>4710</v>
      </c>
      <c r="G8" s="44">
        <v>419</v>
      </c>
      <c r="H8" s="44">
        <v>303</v>
      </c>
      <c r="I8" s="44">
        <v>244</v>
      </c>
    </row>
    <row r="9" spans="1:13">
      <c r="D9" s="2">
        <v>105</v>
      </c>
      <c r="E9" s="32" t="s">
        <v>41</v>
      </c>
      <c r="F9" s="43">
        <v>4120</v>
      </c>
      <c r="G9" s="44">
        <v>378</v>
      </c>
      <c r="H9" s="44">
        <v>274</v>
      </c>
      <c r="I9" s="44">
        <v>221</v>
      </c>
    </row>
    <row r="10" spans="1:13">
      <c r="D10" s="2">
        <v>106</v>
      </c>
      <c r="E10" s="32" t="s">
        <v>42</v>
      </c>
      <c r="F10" s="43">
        <v>3860</v>
      </c>
      <c r="G10" s="44">
        <v>360</v>
      </c>
      <c r="H10" s="44">
        <v>261</v>
      </c>
      <c r="I10" s="44">
        <v>211</v>
      </c>
    </row>
    <row r="11" spans="1:13">
      <c r="D11" s="2">
        <v>107</v>
      </c>
      <c r="E11" s="32" t="s">
        <v>44</v>
      </c>
      <c r="F11" s="43">
        <v>3390</v>
      </c>
      <c r="G11" s="44">
        <v>327</v>
      </c>
      <c r="H11" s="44">
        <v>237</v>
      </c>
      <c r="I11" s="44">
        <v>192</v>
      </c>
    </row>
    <row r="12" spans="1:13">
      <c r="D12" s="2">
        <v>108</v>
      </c>
      <c r="E12" s="32" t="s">
        <v>46</v>
      </c>
      <c r="F12" s="43">
        <v>2750</v>
      </c>
      <c r="G12" s="44">
        <v>282</v>
      </c>
      <c r="H12" s="44">
        <v>205</v>
      </c>
      <c r="I12" s="44">
        <v>166</v>
      </c>
    </row>
  </sheetData>
  <mergeCells count="7">
    <mergeCell ref="L2:M2"/>
    <mergeCell ref="K2:K3"/>
    <mergeCell ref="G2:I2"/>
    <mergeCell ref="D2:D4"/>
    <mergeCell ref="E2:E4"/>
    <mergeCell ref="F2:F4"/>
    <mergeCell ref="G3:I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workbookViewId="0"/>
  </sheetViews>
  <sheetFormatPr defaultRowHeight="13.5"/>
  <cols>
    <col min="1" max="1" width="7.5" bestFit="1" customWidth="1"/>
    <col min="2" max="2" width="9.5" bestFit="1" customWidth="1"/>
    <col min="3" max="4" width="7.5" bestFit="1" customWidth="1"/>
    <col min="5" max="5" width="7.5" customWidth="1"/>
    <col min="6" max="7" width="5.5" bestFit="1" customWidth="1"/>
    <col min="8" max="8" width="10.5" bestFit="1" customWidth="1"/>
    <col min="9" max="9" width="5.5" bestFit="1" customWidth="1"/>
    <col min="10" max="10" width="9.5" bestFit="1" customWidth="1"/>
  </cols>
  <sheetData>
    <row r="1" spans="1:10">
      <c r="A1" s="4" t="s">
        <v>54</v>
      </c>
      <c r="B1" s="5" t="s">
        <v>55</v>
      </c>
      <c r="C1" s="5" t="s">
        <v>0</v>
      </c>
      <c r="D1" s="5" t="s">
        <v>1</v>
      </c>
      <c r="E1" s="5" t="s">
        <v>28</v>
      </c>
      <c r="F1" s="5" t="s">
        <v>9</v>
      </c>
      <c r="G1" s="5" t="s">
        <v>10</v>
      </c>
      <c r="H1" s="5" t="s">
        <v>11</v>
      </c>
      <c r="I1" s="5" t="s">
        <v>12</v>
      </c>
      <c r="J1" s="6" t="s">
        <v>13</v>
      </c>
    </row>
    <row r="2" spans="1:10">
      <c r="A2" s="7">
        <v>11</v>
      </c>
      <c r="B2" s="2" t="str">
        <f>VLOOKUP(A2,テーブル!$A$3:$B$6,2,0)</f>
        <v>協栄商事</v>
      </c>
      <c r="C2" s="2">
        <v>101</v>
      </c>
      <c r="D2" s="2" t="str">
        <f>VLOOKUP(C2,テーブル!$D$5:$I$12,2,0)</f>
        <v>Ｊ商品</v>
      </c>
      <c r="E2" s="2">
        <v>5</v>
      </c>
      <c r="F2" s="2">
        <v>12</v>
      </c>
      <c r="G2" s="21">
        <f>VLOOKUP(VLOOKUP(C2,テーブル!$D$5:$I$12,3,0),テーブル!$K$4:$M$6,INT(F2/10)+2,1)</f>
        <v>0.6</v>
      </c>
      <c r="H2" s="3">
        <f>ROUNDUP(VLOOKUP(C2,テーブル!$D$5:$I$12,3,0)*E2*F2*G2,-1)</f>
        <v>220320</v>
      </c>
      <c r="I2" s="2" t="s">
        <v>24</v>
      </c>
      <c r="J2" s="37">
        <f>ROUNDDOWN(INDEX(テーブル!$G$5:$I$12,MATCH(C2,テーブル!$D$5:$D$12,0),MATCH(I2,テーブル!$G$4:$I$4,0))*E2*F2,-2)</f>
        <v>18000</v>
      </c>
    </row>
    <row r="3" spans="1:10">
      <c r="A3" s="7">
        <v>11</v>
      </c>
      <c r="B3" s="2" t="str">
        <f>VLOOKUP(A3,テーブル!$A$3:$B$6,2,0)</f>
        <v>協栄商事</v>
      </c>
      <c r="C3" s="2">
        <v>102</v>
      </c>
      <c r="D3" s="2" t="str">
        <f>VLOOKUP(C3,テーブル!$D$5:$I$12,2,0)</f>
        <v>Ｋ商品</v>
      </c>
      <c r="E3" s="2">
        <v>4</v>
      </c>
      <c r="F3" s="2">
        <v>13</v>
      </c>
      <c r="G3" s="21">
        <f>VLOOKUP(VLOOKUP(C3,テーブル!$D$5:$I$12,3,0),テーブル!$K$4:$M$6,INT(F3/10)+2,1)</f>
        <v>0.6</v>
      </c>
      <c r="H3" s="3">
        <f>ROUNDUP(VLOOKUP(C3,テーブル!$D$5:$I$12,3,0)*E3*F3*G3,-1)</f>
        <v>170670</v>
      </c>
      <c r="I3" s="2" t="s">
        <v>6</v>
      </c>
      <c r="J3" s="37">
        <f>ROUNDDOWN(INDEX(テーブル!$G$5:$I$12,MATCH(C3,テーブル!$D$5:$D$12,0),MATCH(I3,テーブル!$G$4:$I$4,0))*E3*F3,-2)</f>
        <v>24500</v>
      </c>
    </row>
    <row r="4" spans="1:10">
      <c r="A4" s="7">
        <v>11</v>
      </c>
      <c r="B4" s="2" t="str">
        <f>VLOOKUP(A4,テーブル!$A$3:$B$6,2,0)</f>
        <v>協栄商事</v>
      </c>
      <c r="C4" s="2">
        <v>103</v>
      </c>
      <c r="D4" s="2" t="str">
        <f>VLOOKUP(C4,テーブル!$D$5:$I$12,2,0)</f>
        <v>Ｌ商品</v>
      </c>
      <c r="E4" s="2">
        <v>6</v>
      </c>
      <c r="F4" s="2">
        <v>11</v>
      </c>
      <c r="G4" s="21">
        <f>VLOOKUP(VLOOKUP(C4,テーブル!$D$5:$I$12,3,0),テーブル!$K$4:$M$6,INT(F4/10)+2,1)</f>
        <v>0.6</v>
      </c>
      <c r="H4" s="3">
        <f>ROUNDUP(VLOOKUP(C4,テーブル!$D$5:$I$12,3,0)*E4*F4*G4,-1)</f>
        <v>200380</v>
      </c>
      <c r="I4" s="2" t="s">
        <v>23</v>
      </c>
      <c r="J4" s="37">
        <f>ROUNDDOWN(INDEX(テーブル!$G$5:$I$12,MATCH(C4,テーブル!$D$5:$D$12,0),MATCH(I4,テーブル!$G$4:$I$4,0))*E4*F4,-2)</f>
        <v>21100</v>
      </c>
    </row>
    <row r="5" spans="1:10">
      <c r="A5" s="7">
        <v>11</v>
      </c>
      <c r="B5" s="2" t="str">
        <f>VLOOKUP(A5,テーブル!$A$3:$B$6,2,0)</f>
        <v>協栄商事</v>
      </c>
      <c r="C5" s="2">
        <v>104</v>
      </c>
      <c r="D5" s="2" t="str">
        <f>VLOOKUP(C5,テーブル!$D$5:$I$12,2,0)</f>
        <v>Ｍ商品</v>
      </c>
      <c r="E5" s="2">
        <v>3</v>
      </c>
      <c r="F5" s="2">
        <v>12</v>
      </c>
      <c r="G5" s="21">
        <f>VLOOKUP(VLOOKUP(C5,テーブル!$D$5:$I$12,3,0),テーブル!$K$4:$M$6,INT(F5/10)+2,1)</f>
        <v>0.65</v>
      </c>
      <c r="H5" s="3">
        <f>ROUNDUP(VLOOKUP(C5,テーブル!$D$5:$I$12,3,0)*E5*F5*G5,-1)</f>
        <v>110220</v>
      </c>
      <c r="I5" s="2" t="s">
        <v>6</v>
      </c>
      <c r="J5" s="37">
        <f>ROUNDDOWN(INDEX(テーブル!$G$5:$I$12,MATCH(C5,テーブル!$D$5:$D$12,0),MATCH(I5,テーブル!$G$4:$I$4,0))*E5*F5,-2)</f>
        <v>15000</v>
      </c>
    </row>
    <row r="6" spans="1:10">
      <c r="A6" s="7">
        <v>12</v>
      </c>
      <c r="B6" s="2" t="str">
        <f>VLOOKUP(A6,テーブル!$A$3:$B$6,2,0)</f>
        <v>松山工業</v>
      </c>
      <c r="C6" s="2">
        <v>101</v>
      </c>
      <c r="D6" s="2" t="str">
        <f>VLOOKUP(C6,テーブル!$D$5:$I$12,2,0)</f>
        <v>Ｊ商品</v>
      </c>
      <c r="E6" s="2">
        <v>7</v>
      </c>
      <c r="F6" s="2">
        <v>15</v>
      </c>
      <c r="G6" s="21">
        <f>VLOOKUP(VLOOKUP(C6,テーブル!$D$5:$I$12,3,0),テーブル!$K$4:$M$6,INT(F6/10)+2,1)</f>
        <v>0.6</v>
      </c>
      <c r="H6" s="3">
        <f>ROUNDUP(VLOOKUP(C6,テーブル!$D$5:$I$12,3,0)*E6*F6*G6,-1)</f>
        <v>385560</v>
      </c>
      <c r="I6" s="2" t="s">
        <v>8</v>
      </c>
      <c r="J6" s="37">
        <f>ROUNDDOWN(INDEX(テーブル!$G$5:$I$12,MATCH(C6,テーブル!$D$5:$D$12,0),MATCH(I6,テーブル!$G$4:$I$4,0))*E6*F6,-2)</f>
        <v>31600</v>
      </c>
    </row>
    <row r="7" spans="1:10">
      <c r="A7" s="7">
        <v>12</v>
      </c>
      <c r="B7" s="2" t="str">
        <f>VLOOKUP(A7,テーブル!$A$3:$B$6,2,0)</f>
        <v>松山工業</v>
      </c>
      <c r="C7" s="2">
        <v>102</v>
      </c>
      <c r="D7" s="2" t="str">
        <f>VLOOKUP(C7,テーブル!$D$5:$I$12,2,0)</f>
        <v>Ｋ商品</v>
      </c>
      <c r="E7" s="2">
        <v>8</v>
      </c>
      <c r="F7" s="2">
        <v>8</v>
      </c>
      <c r="G7" s="21">
        <f>VLOOKUP(VLOOKUP(C7,テーブル!$D$5:$I$12,3,0),テーブル!$K$4:$M$6,INT(F7/10)+2,1)</f>
        <v>0.8</v>
      </c>
      <c r="H7" s="3">
        <f>ROUNDUP(VLOOKUP(C7,テーブル!$D$5:$I$12,3,0)*E7*F7*G7,-1)</f>
        <v>280070</v>
      </c>
      <c r="I7" s="2" t="s">
        <v>7</v>
      </c>
      <c r="J7" s="37">
        <f>ROUNDDOWN(INDEX(テーブル!$G$5:$I$12,MATCH(C7,テーブル!$D$5:$D$12,0),MATCH(I7,テーブル!$G$4:$I$4,0))*E7*F7,-2)</f>
        <v>21800</v>
      </c>
    </row>
    <row r="8" spans="1:10">
      <c r="A8" s="7">
        <v>12</v>
      </c>
      <c r="B8" s="2" t="str">
        <f>VLOOKUP(A8,テーブル!$A$3:$B$6,2,0)</f>
        <v>松山工業</v>
      </c>
      <c r="C8" s="2">
        <v>103</v>
      </c>
      <c r="D8" s="2" t="str">
        <f>VLOOKUP(C8,テーブル!$D$5:$I$12,2,0)</f>
        <v>Ｌ商品</v>
      </c>
      <c r="E8" s="2">
        <v>5</v>
      </c>
      <c r="F8" s="2">
        <v>10</v>
      </c>
      <c r="G8" s="21">
        <f>VLOOKUP(VLOOKUP(C8,テーブル!$D$5:$I$12,3,0),テーブル!$K$4:$M$6,INT(F8/10)+2,1)</f>
        <v>0.6</v>
      </c>
      <c r="H8" s="3">
        <f>ROUNDUP(VLOOKUP(C8,テーブル!$D$5:$I$12,3,0)*E8*F8*G8,-1)</f>
        <v>151800</v>
      </c>
      <c r="I8" s="2" t="s">
        <v>8</v>
      </c>
      <c r="J8" s="37">
        <f>ROUNDDOWN(INDEX(テーブル!$G$5:$I$12,MATCH(C8,テーブル!$D$5:$D$12,0),MATCH(I8,テーブル!$G$4:$I$4,0))*E8*F8,-2)</f>
        <v>12900</v>
      </c>
    </row>
    <row r="9" spans="1:10">
      <c r="A9" s="7">
        <v>12</v>
      </c>
      <c r="B9" s="2" t="str">
        <f>VLOOKUP(A9,テーブル!$A$3:$B$6,2,0)</f>
        <v>松山工業</v>
      </c>
      <c r="C9" s="2">
        <v>104</v>
      </c>
      <c r="D9" s="2" t="str">
        <f>VLOOKUP(C9,テーブル!$D$5:$I$12,2,0)</f>
        <v>Ｍ商品</v>
      </c>
      <c r="E9" s="2">
        <v>6</v>
      </c>
      <c r="F9" s="2">
        <v>12</v>
      </c>
      <c r="G9" s="21">
        <f>VLOOKUP(VLOOKUP(C9,テーブル!$D$5:$I$12,3,0),テーブル!$K$4:$M$6,INT(F9/10)+2,1)</f>
        <v>0.65</v>
      </c>
      <c r="H9" s="3">
        <f>ROUNDUP(VLOOKUP(C9,テーブル!$D$5:$I$12,3,0)*E9*F9*G9,-1)</f>
        <v>220430</v>
      </c>
      <c r="I9" s="2" t="s">
        <v>7</v>
      </c>
      <c r="J9" s="37">
        <f>ROUNDDOWN(INDEX(テーブル!$G$5:$I$12,MATCH(C9,テーブル!$D$5:$D$12,0),MATCH(I9,テーブル!$G$4:$I$4,0))*E9*F9,-2)</f>
        <v>21800</v>
      </c>
    </row>
    <row r="10" spans="1:10">
      <c r="A10" s="7">
        <v>13</v>
      </c>
      <c r="B10" s="2" t="str">
        <f>VLOOKUP(A10,テーブル!$A$3:$B$6,2,0)</f>
        <v>山田建設</v>
      </c>
      <c r="C10" s="2">
        <v>101</v>
      </c>
      <c r="D10" s="2" t="str">
        <f>VLOOKUP(C10,テーブル!$D$5:$I$12,2,0)</f>
        <v>Ｊ商品</v>
      </c>
      <c r="E10" s="2">
        <v>9</v>
      </c>
      <c r="F10" s="2">
        <v>9</v>
      </c>
      <c r="G10" s="21">
        <f>VLOOKUP(VLOOKUP(C10,テーブル!$D$5:$I$12,3,0),テーブル!$K$4:$M$6,INT(F10/10)+2,1)</f>
        <v>0.8</v>
      </c>
      <c r="H10" s="3">
        <f>ROUNDUP(VLOOKUP(C10,テーブル!$D$5:$I$12,3,0)*E10*F10*G10,-1)</f>
        <v>396580</v>
      </c>
      <c r="I10" s="2" t="s">
        <v>25</v>
      </c>
      <c r="J10" s="37">
        <f>ROUNDDOWN(INDEX(テーブル!$G$5:$I$12,MATCH(C10,テーブル!$D$5:$D$12,0),MATCH(I10,テーブル!$G$4:$I$4,0))*E10*F10,-2)</f>
        <v>41900</v>
      </c>
    </row>
    <row r="11" spans="1:10">
      <c r="A11" s="7">
        <v>13</v>
      </c>
      <c r="B11" s="2" t="str">
        <f>VLOOKUP(A11,テーブル!$A$3:$B$6,2,0)</f>
        <v>山田建設</v>
      </c>
      <c r="C11" s="2">
        <v>102</v>
      </c>
      <c r="D11" s="2" t="str">
        <f>VLOOKUP(C11,テーブル!$D$5:$I$12,2,0)</f>
        <v>Ｋ商品</v>
      </c>
      <c r="E11" s="2">
        <v>4</v>
      </c>
      <c r="F11" s="2">
        <v>8</v>
      </c>
      <c r="G11" s="21">
        <f>VLOOKUP(VLOOKUP(C11,テーブル!$D$5:$I$12,3,0),テーブル!$K$4:$M$6,INT(F11/10)+2,1)</f>
        <v>0.8</v>
      </c>
      <c r="H11" s="3">
        <f>ROUNDUP(VLOOKUP(C11,テーブル!$D$5:$I$12,3,0)*E11*F11*G11,-1)</f>
        <v>140040</v>
      </c>
      <c r="I11" s="2" t="s">
        <v>8</v>
      </c>
      <c r="J11" s="37">
        <f>ROUNDDOWN(INDEX(テーブル!$G$5:$I$12,MATCH(C11,テーブル!$D$5:$D$12,0),MATCH(I11,テーブル!$G$4:$I$4,0))*E11*F11,-2)</f>
        <v>8800</v>
      </c>
    </row>
    <row r="12" spans="1:10">
      <c r="A12" s="7">
        <v>13</v>
      </c>
      <c r="B12" s="2" t="str">
        <f>VLOOKUP(A12,テーブル!$A$3:$B$6,2,0)</f>
        <v>山田建設</v>
      </c>
      <c r="C12" s="2">
        <v>103</v>
      </c>
      <c r="D12" s="2" t="str">
        <f>VLOOKUP(C12,テーブル!$D$5:$I$12,2,0)</f>
        <v>Ｌ商品</v>
      </c>
      <c r="E12" s="2">
        <v>8</v>
      </c>
      <c r="F12" s="2">
        <v>9</v>
      </c>
      <c r="G12" s="21">
        <f>VLOOKUP(VLOOKUP(C12,テーブル!$D$5:$I$12,3,0),テーブル!$K$4:$M$6,INT(F12/10)+2,1)</f>
        <v>0.8</v>
      </c>
      <c r="H12" s="3">
        <f>ROUNDUP(VLOOKUP(C12,テーブル!$D$5:$I$12,3,0)*E12*F12*G12,-1)</f>
        <v>291460</v>
      </c>
      <c r="I12" s="2" t="s">
        <v>6</v>
      </c>
      <c r="J12" s="37">
        <f>ROUNDDOWN(INDEX(テーブル!$G$5:$I$12,MATCH(C12,テーブル!$D$5:$D$12,0),MATCH(I12,テーブル!$G$4:$I$4,0))*E12*F12,-2)</f>
        <v>31900</v>
      </c>
    </row>
    <row r="13" spans="1:10">
      <c r="A13" s="7">
        <v>13</v>
      </c>
      <c r="B13" s="2" t="str">
        <f>VLOOKUP(A13,テーブル!$A$3:$B$6,2,0)</f>
        <v>山田建設</v>
      </c>
      <c r="C13" s="2">
        <v>104</v>
      </c>
      <c r="D13" s="2" t="str">
        <f>VLOOKUP(C13,テーブル!$D$5:$I$12,2,0)</f>
        <v>Ｍ商品</v>
      </c>
      <c r="E13" s="2">
        <v>6</v>
      </c>
      <c r="F13" s="2">
        <v>14</v>
      </c>
      <c r="G13" s="21">
        <f>VLOOKUP(VLOOKUP(C13,テーブル!$D$5:$I$12,3,0),テーブル!$K$4:$M$6,INT(F13/10)+2,1)</f>
        <v>0.65</v>
      </c>
      <c r="H13" s="3">
        <f>ROUNDUP(VLOOKUP(C13,テーブル!$D$5:$I$12,3,0)*E13*F13*G13,-1)</f>
        <v>257170</v>
      </c>
      <c r="I13" s="2" t="s">
        <v>23</v>
      </c>
      <c r="J13" s="37">
        <f>ROUNDDOWN(INDEX(テーブル!$G$5:$I$12,MATCH(C13,テーブル!$D$5:$D$12,0),MATCH(I13,テーブル!$G$4:$I$4,0))*E13*F13,-2)</f>
        <v>25400</v>
      </c>
    </row>
    <row r="14" spans="1:10">
      <c r="A14" s="7">
        <v>14</v>
      </c>
      <c r="B14" s="2" t="str">
        <f>VLOOKUP(A14,テーブル!$A$3:$B$6,2,0)</f>
        <v>赤井物産</v>
      </c>
      <c r="C14" s="2">
        <v>101</v>
      </c>
      <c r="D14" s="2" t="str">
        <f>VLOOKUP(C14,テーブル!$D$5:$I$12,2,0)</f>
        <v>Ｊ商品</v>
      </c>
      <c r="E14" s="2">
        <v>7</v>
      </c>
      <c r="F14" s="2">
        <v>7</v>
      </c>
      <c r="G14" s="21">
        <f>VLOOKUP(VLOOKUP(C14,テーブル!$D$5:$I$12,3,0),テーブル!$K$4:$M$6,INT(F14/10)+2,1)</f>
        <v>0.8</v>
      </c>
      <c r="H14" s="3">
        <f>ROUNDUP(VLOOKUP(C14,テーブル!$D$5:$I$12,3,0)*E14*F14*G14,-1)</f>
        <v>239910</v>
      </c>
      <c r="I14" s="2" t="s">
        <v>7</v>
      </c>
      <c r="J14" s="37">
        <f>ROUNDDOWN(INDEX(テーブル!$G$5:$I$12,MATCH(C14,テーブル!$D$5:$D$12,0),MATCH(I14,テーブル!$G$4:$I$4,0))*E14*F14,-2)</f>
        <v>18300</v>
      </c>
    </row>
    <row r="15" spans="1:10">
      <c r="A15" s="7">
        <v>14</v>
      </c>
      <c r="B15" s="2" t="str">
        <f>VLOOKUP(A15,テーブル!$A$3:$B$6,2,0)</f>
        <v>赤井物産</v>
      </c>
      <c r="C15" s="2">
        <v>102</v>
      </c>
      <c r="D15" s="2" t="str">
        <f>VLOOKUP(C15,テーブル!$D$5:$I$12,2,0)</f>
        <v>Ｋ商品</v>
      </c>
      <c r="E15" s="2">
        <v>5</v>
      </c>
      <c r="F15" s="2">
        <v>11</v>
      </c>
      <c r="G15" s="21">
        <f>VLOOKUP(VLOOKUP(C15,テーブル!$D$5:$I$12,3,0),テーブル!$K$4:$M$6,INT(F15/10)+2,1)</f>
        <v>0.6</v>
      </c>
      <c r="H15" s="3">
        <f>ROUNDUP(VLOOKUP(C15,テーブル!$D$5:$I$12,3,0)*E15*F15*G15,-1)</f>
        <v>180510</v>
      </c>
      <c r="I15" s="2" t="s">
        <v>6</v>
      </c>
      <c r="J15" s="37">
        <f>ROUNDDOWN(INDEX(テーブル!$G$5:$I$12,MATCH(C15,テーブル!$D$5:$D$12,0),MATCH(I15,テーブル!$G$4:$I$4,0))*E15*F15,-2)</f>
        <v>26000</v>
      </c>
    </row>
    <row r="16" spans="1:10">
      <c r="A16" s="7">
        <v>14</v>
      </c>
      <c r="B16" s="2" t="str">
        <f>VLOOKUP(A16,テーブル!$A$3:$B$6,2,0)</f>
        <v>赤井物産</v>
      </c>
      <c r="C16" s="2">
        <v>103</v>
      </c>
      <c r="D16" s="2" t="str">
        <f>VLOOKUP(C16,テーブル!$D$5:$I$12,2,0)</f>
        <v>Ｌ商品</v>
      </c>
      <c r="E16" s="2">
        <v>9</v>
      </c>
      <c r="F16" s="2">
        <v>15</v>
      </c>
      <c r="G16" s="21">
        <f>VLOOKUP(VLOOKUP(C16,テーブル!$D$5:$I$12,3,0),テーブル!$K$4:$M$6,INT(F16/10)+2,1)</f>
        <v>0.6</v>
      </c>
      <c r="H16" s="3">
        <f>ROUNDUP(VLOOKUP(C16,テーブル!$D$5:$I$12,3,0)*E16*F16*G16,-1)</f>
        <v>409860</v>
      </c>
      <c r="I16" s="2" t="s">
        <v>7</v>
      </c>
      <c r="J16" s="37">
        <f>ROUNDDOWN(INDEX(テーブル!$G$5:$I$12,MATCH(C16,テーブル!$D$5:$D$12,0),MATCH(I16,テーブル!$G$4:$I$4,0))*E16*F16,-2)</f>
        <v>43300</v>
      </c>
    </row>
    <row r="17" spans="1:10">
      <c r="A17" s="7">
        <v>14</v>
      </c>
      <c r="B17" s="2" t="str">
        <f>VLOOKUP(A17,テーブル!$A$3:$B$6,2,0)</f>
        <v>赤井物産</v>
      </c>
      <c r="C17" s="2">
        <v>104</v>
      </c>
      <c r="D17" s="2" t="str">
        <f>VLOOKUP(C17,テーブル!$D$5:$I$12,2,0)</f>
        <v>Ｍ商品</v>
      </c>
      <c r="E17" s="2">
        <v>8</v>
      </c>
      <c r="F17" s="2">
        <v>8</v>
      </c>
      <c r="G17" s="21">
        <f>VLOOKUP(VLOOKUP(C17,テーブル!$D$5:$I$12,3,0),テーブル!$K$4:$M$6,INT(F17/10)+2,1)</f>
        <v>0.85</v>
      </c>
      <c r="H17" s="3">
        <f>ROUNDUP(VLOOKUP(C17,テーブル!$D$5:$I$12,3,0)*E17*F17*G17,-1)</f>
        <v>256230</v>
      </c>
      <c r="I17" s="2" t="s">
        <v>8</v>
      </c>
      <c r="J17" s="37">
        <f>ROUNDDOWN(INDEX(テーブル!$G$5:$I$12,MATCH(C17,テーブル!$D$5:$D$12,0),MATCH(I17,テーブル!$G$4:$I$4,0))*E17*F17,-2)</f>
        <v>15600</v>
      </c>
    </row>
    <row r="18" spans="1:10">
      <c r="A18" s="7">
        <v>11</v>
      </c>
      <c r="B18" s="2" t="str">
        <f>VLOOKUP(A18,テーブル!$A$3:$B$6,2,0)</f>
        <v>協栄商事</v>
      </c>
      <c r="C18" s="2">
        <v>105</v>
      </c>
      <c r="D18" s="2" t="str">
        <f>VLOOKUP(C18,テーブル!$D$5:$I$12,2,0)</f>
        <v>Ｎ商品</v>
      </c>
      <c r="E18" s="2">
        <v>6</v>
      </c>
      <c r="F18" s="2">
        <v>11</v>
      </c>
      <c r="G18" s="21">
        <f>VLOOKUP(VLOOKUP(C18,テーブル!$D$5:$I$12,3,0),テーブル!$K$4:$M$6,INT(F18/10)+2,1)</f>
        <v>0.65</v>
      </c>
      <c r="H18" s="3">
        <f>ROUNDUP(VLOOKUP(C18,テーブル!$D$5:$I$12,3,0)*E18*F18*G18,-1)</f>
        <v>176750</v>
      </c>
      <c r="I18" s="2" t="s">
        <v>25</v>
      </c>
      <c r="J18" s="37">
        <f>ROUNDDOWN(INDEX(テーブル!$G$5:$I$12,MATCH(C18,テーブル!$D$5:$D$12,0),MATCH(I18,テーブル!$G$4:$I$4,0))*E18*F18,-2)</f>
        <v>24900</v>
      </c>
    </row>
    <row r="19" spans="1:10">
      <c r="A19" s="7">
        <v>11</v>
      </c>
      <c r="B19" s="2" t="str">
        <f>VLOOKUP(A19,テーブル!$A$3:$B$6,2,0)</f>
        <v>協栄商事</v>
      </c>
      <c r="C19" s="2">
        <v>106</v>
      </c>
      <c r="D19" s="2" t="str">
        <f>VLOOKUP(C19,テーブル!$D$5:$I$12,2,0)</f>
        <v>Ｏ商品</v>
      </c>
      <c r="E19" s="2">
        <v>4</v>
      </c>
      <c r="F19" s="2">
        <v>13</v>
      </c>
      <c r="G19" s="21">
        <f>VLOOKUP(VLOOKUP(C19,テーブル!$D$5:$I$12,3,0),テーブル!$K$4:$M$6,INT(F19/10)+2,1)</f>
        <v>0.7</v>
      </c>
      <c r="H19" s="3">
        <f>ROUNDUP(VLOOKUP(C19,テーブル!$D$5:$I$12,3,0)*E19*F19*G19,-1)</f>
        <v>140510</v>
      </c>
      <c r="I19" s="2" t="s">
        <v>24</v>
      </c>
      <c r="J19" s="37">
        <f>ROUNDDOWN(INDEX(テーブル!$G$5:$I$12,MATCH(C19,テーブル!$D$5:$D$12,0),MATCH(I19,テーブル!$G$4:$I$4,0))*E19*F19,-2)</f>
        <v>10900</v>
      </c>
    </row>
    <row r="20" spans="1:10">
      <c r="A20" s="7">
        <v>11</v>
      </c>
      <c r="B20" s="2" t="str">
        <f>VLOOKUP(A20,テーブル!$A$3:$B$6,2,0)</f>
        <v>協栄商事</v>
      </c>
      <c r="C20" s="2">
        <v>107</v>
      </c>
      <c r="D20" s="2" t="str">
        <f>VLOOKUP(C20,テーブル!$D$5:$I$12,2,0)</f>
        <v>Ｐ商品</v>
      </c>
      <c r="E20" s="2">
        <v>9</v>
      </c>
      <c r="F20" s="2">
        <v>10</v>
      </c>
      <c r="G20" s="21">
        <f>VLOOKUP(VLOOKUP(C20,テーブル!$D$5:$I$12,3,0),テーブル!$K$4:$M$6,INT(F20/10)+2,1)</f>
        <v>0.7</v>
      </c>
      <c r="H20" s="3">
        <f>ROUNDUP(VLOOKUP(C20,テーブル!$D$5:$I$12,3,0)*E20*F20*G20,-1)</f>
        <v>213570</v>
      </c>
      <c r="I20" s="2" t="s">
        <v>23</v>
      </c>
      <c r="J20" s="37">
        <f>ROUNDDOWN(INDEX(テーブル!$G$5:$I$12,MATCH(C20,テーブル!$D$5:$D$12,0),MATCH(I20,テーブル!$G$4:$I$4,0))*E20*F20,-2)</f>
        <v>21300</v>
      </c>
    </row>
    <row r="21" spans="1:10">
      <c r="A21" s="7">
        <v>11</v>
      </c>
      <c r="B21" s="2" t="str">
        <f>VLOOKUP(A21,テーブル!$A$3:$B$6,2,0)</f>
        <v>協栄商事</v>
      </c>
      <c r="C21" s="2">
        <v>108</v>
      </c>
      <c r="D21" s="2" t="str">
        <f>VLOOKUP(C21,テーブル!$D$5:$I$12,2,0)</f>
        <v>Ｑ商品</v>
      </c>
      <c r="E21" s="2">
        <v>7</v>
      </c>
      <c r="F21" s="2">
        <v>8</v>
      </c>
      <c r="G21" s="21">
        <f>VLOOKUP(VLOOKUP(C21,テーブル!$D$5:$I$12,3,0),テーブル!$K$4:$M$6,INT(F21/10)+2,1)</f>
        <v>1</v>
      </c>
      <c r="H21" s="3">
        <f>ROUNDUP(VLOOKUP(C21,テーブル!$D$5:$I$12,3,0)*E21*F21*G21,-1)</f>
        <v>154000</v>
      </c>
      <c r="I21" s="2" t="s">
        <v>6</v>
      </c>
      <c r="J21" s="37">
        <f>ROUNDDOWN(INDEX(テーブル!$G$5:$I$12,MATCH(C21,テーブル!$D$5:$D$12,0),MATCH(I21,テーブル!$G$4:$I$4,0))*E21*F21,-2)</f>
        <v>15700</v>
      </c>
    </row>
    <row r="22" spans="1:10">
      <c r="A22" s="7">
        <v>12</v>
      </c>
      <c r="B22" s="2" t="str">
        <f>VLOOKUP(A22,テーブル!$A$3:$B$6,2,0)</f>
        <v>松山工業</v>
      </c>
      <c r="C22" s="2">
        <v>105</v>
      </c>
      <c r="D22" s="2" t="str">
        <f>VLOOKUP(C22,テーブル!$D$5:$I$12,2,0)</f>
        <v>Ｎ商品</v>
      </c>
      <c r="E22" s="2">
        <v>8</v>
      </c>
      <c r="F22" s="2">
        <v>8</v>
      </c>
      <c r="G22" s="21">
        <f>VLOOKUP(VLOOKUP(C22,テーブル!$D$5:$I$12,3,0),テーブル!$K$4:$M$6,INT(F22/10)+2,1)</f>
        <v>0.85</v>
      </c>
      <c r="H22" s="3">
        <f>ROUNDUP(VLOOKUP(C22,テーブル!$D$5:$I$12,3,0)*E22*F22*G22,-1)</f>
        <v>224130</v>
      </c>
      <c r="I22" s="2" t="s">
        <v>7</v>
      </c>
      <c r="J22" s="37">
        <f>ROUNDDOWN(INDEX(テーブル!$G$5:$I$12,MATCH(C22,テーブル!$D$5:$D$12,0),MATCH(I22,テーブル!$G$4:$I$4,0))*E22*F22,-2)</f>
        <v>17500</v>
      </c>
    </row>
    <row r="23" spans="1:10">
      <c r="A23" s="7">
        <v>12</v>
      </c>
      <c r="B23" s="2" t="str">
        <f>VLOOKUP(A23,テーブル!$A$3:$B$6,2,0)</f>
        <v>松山工業</v>
      </c>
      <c r="C23" s="2">
        <v>106</v>
      </c>
      <c r="D23" s="2" t="str">
        <f>VLOOKUP(C23,テーブル!$D$5:$I$12,2,0)</f>
        <v>Ｏ商品</v>
      </c>
      <c r="E23" s="2">
        <v>5</v>
      </c>
      <c r="F23" s="2">
        <v>10</v>
      </c>
      <c r="G23" s="21">
        <f>VLOOKUP(VLOOKUP(C23,テーブル!$D$5:$I$12,3,0),テーブル!$K$4:$M$6,INT(F23/10)+2,1)</f>
        <v>0.7</v>
      </c>
      <c r="H23" s="3">
        <f>ROUNDUP(VLOOKUP(C23,テーブル!$D$5:$I$12,3,0)*E23*F23*G23,-1)</f>
        <v>135100</v>
      </c>
      <c r="I23" s="2" t="s">
        <v>8</v>
      </c>
      <c r="J23" s="37">
        <f>ROUNDDOWN(INDEX(テーブル!$G$5:$I$12,MATCH(C23,テーブル!$D$5:$D$12,0),MATCH(I23,テーブル!$G$4:$I$4,0))*E23*F23,-2)</f>
        <v>10500</v>
      </c>
    </row>
    <row r="24" spans="1:10">
      <c r="A24" s="7">
        <v>12</v>
      </c>
      <c r="B24" s="2" t="str">
        <f>VLOOKUP(A24,テーブル!$A$3:$B$6,2,0)</f>
        <v>松山工業</v>
      </c>
      <c r="C24" s="2">
        <v>107</v>
      </c>
      <c r="D24" s="2" t="str">
        <f>VLOOKUP(C24,テーブル!$D$5:$I$12,2,0)</f>
        <v>Ｐ商品</v>
      </c>
      <c r="E24" s="2">
        <v>6</v>
      </c>
      <c r="F24" s="2">
        <v>7</v>
      </c>
      <c r="G24" s="21">
        <f>VLOOKUP(VLOOKUP(C24,テーブル!$D$5:$I$12,3,0),テーブル!$K$4:$M$6,INT(F24/10)+2,1)</f>
        <v>1</v>
      </c>
      <c r="H24" s="3">
        <f>ROUNDUP(VLOOKUP(C24,テーブル!$D$5:$I$12,3,0)*E24*F24*G24,-1)</f>
        <v>142380</v>
      </c>
      <c r="I24" s="2" t="s">
        <v>24</v>
      </c>
      <c r="J24" s="37">
        <f>ROUNDDOWN(INDEX(テーブル!$G$5:$I$12,MATCH(C24,テーブル!$D$5:$D$12,0),MATCH(I24,テーブル!$G$4:$I$4,0))*E24*F24,-2)</f>
        <v>8000</v>
      </c>
    </row>
    <row r="25" spans="1:10">
      <c r="A25" s="7">
        <v>12</v>
      </c>
      <c r="B25" s="2" t="str">
        <f>VLOOKUP(A25,テーブル!$A$3:$B$6,2,0)</f>
        <v>松山工業</v>
      </c>
      <c r="C25" s="2">
        <v>108</v>
      </c>
      <c r="D25" s="2" t="str">
        <f>VLOOKUP(C25,テーブル!$D$5:$I$12,2,0)</f>
        <v>Ｑ商品</v>
      </c>
      <c r="E25" s="2">
        <v>4</v>
      </c>
      <c r="F25" s="2">
        <v>14</v>
      </c>
      <c r="G25" s="21">
        <f>VLOOKUP(VLOOKUP(C25,テーブル!$D$5:$I$12,3,0),テーブル!$K$4:$M$6,INT(F25/10)+2,1)</f>
        <v>0.7</v>
      </c>
      <c r="H25" s="3">
        <f>ROUNDUP(VLOOKUP(C25,テーブル!$D$5:$I$12,3,0)*E25*F25*G25,-1)</f>
        <v>107800</v>
      </c>
      <c r="I25" s="2" t="s">
        <v>23</v>
      </c>
      <c r="J25" s="37">
        <f>ROUNDDOWN(INDEX(テーブル!$G$5:$I$12,MATCH(C25,テーブル!$D$5:$D$12,0),MATCH(I25,テーブル!$G$4:$I$4,0))*E25*F25,-2)</f>
        <v>11400</v>
      </c>
    </row>
    <row r="26" spans="1:10">
      <c r="A26" s="7">
        <v>13</v>
      </c>
      <c r="B26" s="2" t="str">
        <f>VLOOKUP(A26,テーブル!$A$3:$B$6,2,0)</f>
        <v>山田建設</v>
      </c>
      <c r="C26" s="2">
        <v>105</v>
      </c>
      <c r="D26" s="2" t="str">
        <f>VLOOKUP(C26,テーブル!$D$5:$I$12,2,0)</f>
        <v>Ｎ商品</v>
      </c>
      <c r="E26" s="2">
        <v>7</v>
      </c>
      <c r="F26" s="2">
        <v>13</v>
      </c>
      <c r="G26" s="21">
        <f>VLOOKUP(VLOOKUP(C26,テーブル!$D$5:$I$12,3,0),テーブル!$K$4:$M$6,INT(F26/10)+2,1)</f>
        <v>0.65</v>
      </c>
      <c r="H26" s="3">
        <f>ROUNDUP(VLOOKUP(C26,テーブル!$D$5:$I$12,3,0)*E26*F26*G26,-1)</f>
        <v>243700</v>
      </c>
      <c r="I26" s="2" t="s">
        <v>25</v>
      </c>
      <c r="J26" s="37">
        <f>ROUNDDOWN(INDEX(テーブル!$G$5:$I$12,MATCH(C26,テーブル!$D$5:$D$12,0),MATCH(I26,テーブル!$G$4:$I$4,0))*E26*F26,-2)</f>
        <v>34300</v>
      </c>
    </row>
    <row r="27" spans="1:10">
      <c r="A27" s="7">
        <v>13</v>
      </c>
      <c r="B27" s="2" t="str">
        <f>VLOOKUP(A27,テーブル!$A$3:$B$6,2,0)</f>
        <v>山田建設</v>
      </c>
      <c r="C27" s="2">
        <v>106</v>
      </c>
      <c r="D27" s="2" t="str">
        <f>VLOOKUP(C27,テーブル!$D$5:$I$12,2,0)</f>
        <v>Ｏ商品</v>
      </c>
      <c r="E27" s="2">
        <v>9</v>
      </c>
      <c r="F27" s="2">
        <v>15</v>
      </c>
      <c r="G27" s="21">
        <f>VLOOKUP(VLOOKUP(C27,テーブル!$D$5:$I$12,3,0),テーブル!$K$4:$M$6,INT(F27/10)+2,1)</f>
        <v>0.7</v>
      </c>
      <c r="H27" s="3">
        <f>ROUNDUP(VLOOKUP(C27,テーブル!$D$5:$I$12,3,0)*E27*F27*G27,-1)</f>
        <v>364770</v>
      </c>
      <c r="I27" s="2" t="s">
        <v>23</v>
      </c>
      <c r="J27" s="37">
        <f>ROUNDDOWN(INDEX(テーブル!$G$5:$I$12,MATCH(C27,テーブル!$D$5:$D$12,0),MATCH(I27,テーブル!$G$4:$I$4,0))*E27*F27,-2)</f>
        <v>35200</v>
      </c>
    </row>
    <row r="28" spans="1:10">
      <c r="A28" s="7">
        <v>13</v>
      </c>
      <c r="B28" s="2" t="str">
        <f>VLOOKUP(A28,テーブル!$A$3:$B$6,2,0)</f>
        <v>山田建設</v>
      </c>
      <c r="C28" s="2">
        <v>107</v>
      </c>
      <c r="D28" s="2" t="str">
        <f>VLOOKUP(C28,テーブル!$D$5:$I$12,2,0)</f>
        <v>Ｐ商品</v>
      </c>
      <c r="E28" s="2">
        <v>5</v>
      </c>
      <c r="F28" s="2">
        <v>10</v>
      </c>
      <c r="G28" s="21">
        <f>VLOOKUP(VLOOKUP(C28,テーブル!$D$5:$I$12,3,0),テーブル!$K$4:$M$6,INT(F28/10)+2,1)</f>
        <v>0.7</v>
      </c>
      <c r="H28" s="3">
        <f>ROUNDUP(VLOOKUP(C28,テーブル!$D$5:$I$12,3,0)*E28*F28*G28,-1)</f>
        <v>118650</v>
      </c>
      <c r="I28" s="2" t="s">
        <v>6</v>
      </c>
      <c r="J28" s="37">
        <f>ROUNDDOWN(INDEX(テーブル!$G$5:$I$12,MATCH(C28,テーブル!$D$5:$D$12,0),MATCH(I28,テーブル!$G$4:$I$4,0))*E28*F28,-2)</f>
        <v>16300</v>
      </c>
    </row>
    <row r="29" spans="1:10">
      <c r="A29" s="7">
        <v>13</v>
      </c>
      <c r="B29" s="2" t="str">
        <f>VLOOKUP(A29,テーブル!$A$3:$B$6,2,0)</f>
        <v>山田建設</v>
      </c>
      <c r="C29" s="2">
        <v>108</v>
      </c>
      <c r="D29" s="2" t="str">
        <f>VLOOKUP(C29,テーブル!$D$5:$I$12,2,0)</f>
        <v>Ｑ商品</v>
      </c>
      <c r="E29" s="2">
        <v>6</v>
      </c>
      <c r="F29" s="2">
        <v>7</v>
      </c>
      <c r="G29" s="21">
        <f>VLOOKUP(VLOOKUP(C29,テーブル!$D$5:$I$12,3,0),テーブル!$K$4:$M$6,INT(F29/10)+2,1)</f>
        <v>1</v>
      </c>
      <c r="H29" s="3">
        <f>ROUNDUP(VLOOKUP(C29,テーブル!$D$5:$I$12,3,0)*E29*F29*G29,-1)</f>
        <v>115500</v>
      </c>
      <c r="I29" s="2" t="s">
        <v>8</v>
      </c>
      <c r="J29" s="37">
        <f>ROUNDDOWN(INDEX(テーブル!$G$5:$I$12,MATCH(C29,テーブル!$D$5:$D$12,0),MATCH(I29,テーブル!$G$4:$I$4,0))*E29*F29,-2)</f>
        <v>6900</v>
      </c>
    </row>
    <row r="30" spans="1:10">
      <c r="A30" s="7">
        <v>14</v>
      </c>
      <c r="B30" s="2" t="str">
        <f>VLOOKUP(A30,テーブル!$A$3:$B$6,2,0)</f>
        <v>赤井物産</v>
      </c>
      <c r="C30" s="2">
        <v>105</v>
      </c>
      <c r="D30" s="2" t="str">
        <f>VLOOKUP(C30,テーブル!$D$5:$I$12,2,0)</f>
        <v>Ｎ商品</v>
      </c>
      <c r="E30" s="2">
        <v>4</v>
      </c>
      <c r="F30" s="2">
        <v>12</v>
      </c>
      <c r="G30" s="21">
        <f>VLOOKUP(VLOOKUP(C30,テーブル!$D$5:$I$12,3,0),テーブル!$K$4:$M$6,INT(F30/10)+2,1)</f>
        <v>0.65</v>
      </c>
      <c r="H30" s="3">
        <f>ROUNDUP(VLOOKUP(C30,テーブル!$D$5:$I$12,3,0)*E30*F30*G30,-1)</f>
        <v>128550</v>
      </c>
      <c r="I30" s="2" t="s">
        <v>23</v>
      </c>
      <c r="J30" s="37">
        <f>ROUNDDOWN(INDEX(テーブル!$G$5:$I$12,MATCH(C30,テーブル!$D$5:$D$12,0),MATCH(I30,テーブル!$G$4:$I$4,0))*E30*F30,-2)</f>
        <v>13100</v>
      </c>
    </row>
    <row r="31" spans="1:10">
      <c r="A31" s="7">
        <v>14</v>
      </c>
      <c r="B31" s="2" t="str">
        <f>VLOOKUP(A31,テーブル!$A$3:$B$6,2,0)</f>
        <v>赤井物産</v>
      </c>
      <c r="C31" s="2">
        <v>106</v>
      </c>
      <c r="D31" s="2" t="str">
        <f>VLOOKUP(C31,テーブル!$D$5:$I$12,2,0)</f>
        <v>Ｏ商品</v>
      </c>
      <c r="E31" s="2">
        <v>5</v>
      </c>
      <c r="F31" s="2">
        <v>14</v>
      </c>
      <c r="G31" s="21">
        <f>VLOOKUP(VLOOKUP(C31,テーブル!$D$5:$I$12,3,0),テーブル!$K$4:$M$6,INT(F31/10)+2,1)</f>
        <v>0.7</v>
      </c>
      <c r="H31" s="3">
        <f>ROUNDUP(VLOOKUP(C31,テーブル!$D$5:$I$12,3,0)*E31*F31*G31,-1)</f>
        <v>189140</v>
      </c>
      <c r="I31" s="2" t="s">
        <v>8</v>
      </c>
      <c r="J31" s="37">
        <f>ROUNDDOWN(INDEX(テーブル!$G$5:$I$12,MATCH(C31,テーブル!$D$5:$D$12,0),MATCH(I31,テーブル!$G$4:$I$4,0))*E31*F31,-2)</f>
        <v>14700</v>
      </c>
    </row>
    <row r="32" spans="1:10">
      <c r="A32" s="7">
        <v>14</v>
      </c>
      <c r="B32" s="2" t="str">
        <f>VLOOKUP(A32,テーブル!$A$3:$B$6,2,0)</f>
        <v>赤井物産</v>
      </c>
      <c r="C32" s="2">
        <v>107</v>
      </c>
      <c r="D32" s="2" t="str">
        <f>VLOOKUP(C32,テーブル!$D$5:$I$12,2,0)</f>
        <v>Ｐ商品</v>
      </c>
      <c r="E32" s="2">
        <v>7</v>
      </c>
      <c r="F32" s="2">
        <v>9</v>
      </c>
      <c r="G32" s="21">
        <f>VLOOKUP(VLOOKUP(C32,テーブル!$D$5:$I$12,3,0),テーブル!$K$4:$M$6,INT(F32/10)+2,1)</f>
        <v>1</v>
      </c>
      <c r="H32" s="3">
        <f>ROUNDUP(VLOOKUP(C32,テーブル!$D$5:$I$12,3,0)*E32*F32*G32,-1)</f>
        <v>213570</v>
      </c>
      <c r="I32" s="2" t="s">
        <v>25</v>
      </c>
      <c r="J32" s="37">
        <f>ROUNDDOWN(INDEX(テーブル!$G$5:$I$12,MATCH(C32,テーブル!$D$5:$D$12,0),MATCH(I32,テーブル!$G$4:$I$4,0))*E32*F32,-2)</f>
        <v>20600</v>
      </c>
    </row>
    <row r="33" spans="1:10">
      <c r="A33" s="7">
        <v>14</v>
      </c>
      <c r="B33" s="2" t="str">
        <f>VLOOKUP(A33,テーブル!$A$3:$B$6,2,0)</f>
        <v>赤井物産</v>
      </c>
      <c r="C33" s="2">
        <v>108</v>
      </c>
      <c r="D33" s="2" t="str">
        <f>VLOOKUP(C33,テーブル!$D$5:$I$12,2,0)</f>
        <v>Ｑ商品</v>
      </c>
      <c r="E33" s="2">
        <v>8</v>
      </c>
      <c r="F33" s="2">
        <v>10</v>
      </c>
      <c r="G33" s="21">
        <f>VLOOKUP(VLOOKUP(C33,テーブル!$D$5:$I$12,3,0),テーブル!$K$4:$M$6,INT(F33/10)+2,1)</f>
        <v>0.7</v>
      </c>
      <c r="H33" s="3">
        <f>ROUNDUP(VLOOKUP(C33,テーブル!$D$5:$I$12,3,0)*E33*F33*G33,-1)</f>
        <v>154000</v>
      </c>
      <c r="I33" s="2" t="s">
        <v>23</v>
      </c>
      <c r="J33" s="37">
        <f>ROUNDDOWN(INDEX(テーブル!$G$5:$I$12,MATCH(C33,テーブル!$D$5:$D$12,0),MATCH(I33,テーブル!$G$4:$I$4,0))*E33*F33,-2)</f>
        <v>16400</v>
      </c>
    </row>
    <row r="34" spans="1:10">
      <c r="A34" s="7"/>
      <c r="B34" s="2"/>
      <c r="C34" s="2"/>
      <c r="D34" s="2"/>
      <c r="E34" s="2"/>
      <c r="F34" s="2"/>
      <c r="G34" s="2"/>
      <c r="H34" s="2"/>
      <c r="I34" s="2"/>
      <c r="J34" s="8"/>
    </row>
    <row r="35" spans="1:10" ht="14.25" thickBot="1">
      <c r="A35" s="9"/>
      <c r="B35" s="22" t="s">
        <v>3</v>
      </c>
      <c r="C35" s="11"/>
      <c r="D35" s="11"/>
      <c r="E35" s="11">
        <f>SUM(E2:E33)</f>
        <v>200</v>
      </c>
      <c r="F35" s="11">
        <f>SUM(F2:F33)</f>
        <v>345</v>
      </c>
      <c r="G35" s="11"/>
      <c r="H35" s="23">
        <f>SUM(H2:H33)</f>
        <v>6733330</v>
      </c>
      <c r="I35" s="23"/>
      <c r="J35" s="38">
        <f>SUM(J2:J33)</f>
        <v>655600</v>
      </c>
    </row>
    <row r="36" spans="1:10">
      <c r="H36" s="19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4"/>
  <sheetViews>
    <sheetView workbookViewId="0">
      <selection sqref="A1:G1"/>
    </sheetView>
  </sheetViews>
  <sheetFormatPr defaultRowHeight="13.5"/>
  <cols>
    <col min="1" max="1" width="9.5" bestFit="1" customWidth="1"/>
    <col min="2" max="2" width="9.5" customWidth="1"/>
    <col min="3" max="3" width="9.5" bestFit="1" customWidth="1"/>
    <col min="4" max="4" width="10.5" bestFit="1" customWidth="1"/>
    <col min="5" max="5" width="8.5" bestFit="1" customWidth="1"/>
    <col min="6" max="6" width="10.5" bestFit="1" customWidth="1"/>
    <col min="7" max="7" width="5.5" bestFit="1" customWidth="1"/>
    <col min="8" max="8" width="9" customWidth="1"/>
    <col min="9" max="9" width="7.5" bestFit="1" customWidth="1"/>
    <col min="10" max="10" width="7.5" customWidth="1"/>
    <col min="11" max="11" width="5.5" bestFit="1" customWidth="1"/>
    <col min="12" max="12" width="10.5" bestFit="1" customWidth="1"/>
    <col min="13" max="13" width="9.5" bestFit="1" customWidth="1"/>
    <col min="14" max="14" width="10.5" bestFit="1" customWidth="1"/>
    <col min="15" max="15" width="9.5" bestFit="1" customWidth="1"/>
    <col min="16" max="16" width="9" customWidth="1"/>
    <col min="17" max="17" width="51.625" bestFit="1" customWidth="1"/>
    <col min="18" max="18" width="11.625" bestFit="1" customWidth="1"/>
    <col min="19" max="20" width="7.5" bestFit="1" customWidth="1"/>
    <col min="21" max="28" width="9" customWidth="1"/>
  </cols>
  <sheetData>
    <row r="1" spans="1:20" ht="14.25" thickBot="1">
      <c r="A1" s="61" t="s">
        <v>57</v>
      </c>
      <c r="B1" s="61"/>
      <c r="C1" s="61"/>
      <c r="D1" s="61"/>
      <c r="E1" s="61"/>
      <c r="F1" s="61"/>
      <c r="G1" s="61"/>
      <c r="H1" s="14"/>
      <c r="I1" s="62" t="s">
        <v>63</v>
      </c>
      <c r="J1" s="62"/>
      <c r="K1" s="62"/>
      <c r="L1" s="62"/>
      <c r="M1" s="62"/>
      <c r="N1" s="62"/>
      <c r="O1" s="62"/>
    </row>
    <row r="2" spans="1:20">
      <c r="A2" s="4" t="s">
        <v>56</v>
      </c>
      <c r="B2" s="5" t="s">
        <v>28</v>
      </c>
      <c r="C2" s="5" t="s">
        <v>9</v>
      </c>
      <c r="D2" s="5" t="s">
        <v>14</v>
      </c>
      <c r="E2" s="5" t="s">
        <v>4</v>
      </c>
      <c r="F2" s="5" t="s">
        <v>5</v>
      </c>
      <c r="G2" s="6" t="s">
        <v>65</v>
      </c>
      <c r="H2" s="14"/>
      <c r="I2" s="4" t="s">
        <v>1</v>
      </c>
      <c r="J2" s="53" t="s">
        <v>28</v>
      </c>
      <c r="K2" s="5" t="s">
        <v>9</v>
      </c>
      <c r="L2" s="5" t="s">
        <v>11</v>
      </c>
      <c r="M2" s="5" t="s">
        <v>13</v>
      </c>
      <c r="N2" s="34" t="s">
        <v>14</v>
      </c>
      <c r="O2" s="6" t="s">
        <v>22</v>
      </c>
      <c r="Q2" s="47" t="s">
        <v>53</v>
      </c>
      <c r="R2" s="29">
        <f>DSUM(データ表!$A$1:$J$33,10,R6:T7)</f>
        <v>147200</v>
      </c>
      <c r="S2" s="19"/>
    </row>
    <row r="3" spans="1:20">
      <c r="A3" s="24" t="s">
        <v>31</v>
      </c>
      <c r="B3" s="41">
        <f>DSUM(データ表!$A$1:$J$33,B$2,$C$10:$C$11)</f>
        <v>54</v>
      </c>
      <c r="C3" s="41">
        <f>DSUM(データ表!$A$1:$J$33,C$2,$C$10:$C$11)</f>
        <v>85</v>
      </c>
      <c r="D3" s="41">
        <f>DSUM(データ表!$A$1:$J$33,8,$C$10:$C$11)+DSUM(データ表!$A$1:$J$33,10,$C$10:$C$11)</f>
        <v>2128570</v>
      </c>
      <c r="E3" s="43">
        <f>ROUNDUP(IF(OR(C3&gt;=90,D3&gt;=2100000),D3*7.1%,D3*6.2%),0)</f>
        <v>151129</v>
      </c>
      <c r="F3" s="3">
        <f>D3-E3</f>
        <v>1977441</v>
      </c>
      <c r="G3" s="54" t="str">
        <f>IF(AND(C3&gt;=85,F3&lt;1900000),"Ａ","")</f>
        <v/>
      </c>
      <c r="H3" s="14"/>
      <c r="I3" s="7" t="s">
        <v>33</v>
      </c>
      <c r="J3" s="41">
        <f>SUMIF(データ表!$D$2:$D$33,$I3,データ表!$E$2:$E$33)</f>
        <v>28</v>
      </c>
      <c r="K3" s="41">
        <f>SUMIF(データ表!$D$2:$D$33,$I3,データ表!$F$2:$F$33)</f>
        <v>43</v>
      </c>
      <c r="L3" s="15">
        <f>SUMIF(データ表!$D$2:$D$33,$I3,データ表!$H$2:$H$33)</f>
        <v>1242370</v>
      </c>
      <c r="M3" s="15">
        <f>SUMIF(データ表!$D$2:$D$33,$I3,データ表!$J$2:$J$33)</f>
        <v>109800</v>
      </c>
      <c r="N3" s="35">
        <f t="shared" ref="N3:N10" si="0">L3+M3</f>
        <v>1352170</v>
      </c>
      <c r="O3" s="30">
        <f t="shared" ref="O3:O10" si="1">N3/SUM($N$3:$N$10)</f>
        <v>0.18299943293548593</v>
      </c>
      <c r="Q3" s="24" t="s">
        <v>62</v>
      </c>
      <c r="R3" s="16">
        <f>DCOUNTA(データ表!$A$1:$J$33,2,R8:S9)</f>
        <v>6</v>
      </c>
    </row>
    <row r="4" spans="1:20" ht="14.25" thickBot="1">
      <c r="A4" s="24" t="s">
        <v>32</v>
      </c>
      <c r="B4" s="41">
        <f>DSUM(データ表!$A$1:$J$33,B$2,$D$10:$D$11)</f>
        <v>53</v>
      </c>
      <c r="C4" s="41">
        <f>DSUM(データ表!$A$1:$J$33,C$2,$D$10:$D$11)</f>
        <v>86</v>
      </c>
      <c r="D4" s="41">
        <f>DSUM(データ表!$A$1:$J$33,8,$D$10:$D$11)+DSUM(データ表!$A$1:$J$33,10,$D$10:$D$11)</f>
        <v>1939770</v>
      </c>
      <c r="E4" s="43">
        <f t="shared" ref="E4:E6" si="2">ROUNDUP(IF(OR(C4&gt;=90,D4&gt;=2100000),D4*7.1%,D4*6.2%),0)</f>
        <v>120266</v>
      </c>
      <c r="F4" s="3">
        <f>D4-E4</f>
        <v>1819504</v>
      </c>
      <c r="G4" s="54" t="str">
        <f t="shared" ref="G4:G6" si="3">IF(AND(C4&gt;=85,F4&lt;1900000),"Ａ","")</f>
        <v>Ａ</v>
      </c>
      <c r="H4" s="14"/>
      <c r="I4" s="7" t="s">
        <v>35</v>
      </c>
      <c r="J4" s="41">
        <f>SUMIF(データ表!$D$2:$D$33,$I4,データ表!$E$2:$E$33)</f>
        <v>21</v>
      </c>
      <c r="K4" s="41">
        <f>SUMIF(データ表!$D$2:$D$33,$I4,データ表!$F$2:$F$33)</f>
        <v>40</v>
      </c>
      <c r="L4" s="15">
        <f>SUMIF(データ表!$D$2:$D$33,$I4,データ表!$H$2:$H$33)</f>
        <v>771290</v>
      </c>
      <c r="M4" s="15">
        <f>SUMIF(データ表!$D$2:$D$33,$I4,データ表!$J$2:$J$33)</f>
        <v>81100</v>
      </c>
      <c r="N4" s="35">
        <f t="shared" si="0"/>
        <v>852390</v>
      </c>
      <c r="O4" s="30">
        <f t="shared" si="1"/>
        <v>0.11536041077666184</v>
      </c>
      <c r="Q4" s="39" t="s">
        <v>61</v>
      </c>
      <c r="R4" s="18" t="str">
        <f>DGET(データ表!$A$1:$J$33,2,R10:R11)</f>
        <v>松山工業</v>
      </c>
      <c r="S4" s="26"/>
    </row>
    <row r="5" spans="1:20" ht="14.25" thickBot="1">
      <c r="A5" s="24" t="s">
        <v>30</v>
      </c>
      <c r="B5" s="41">
        <f>DSUM(データ表!$A$1:$J$33,B$2,$B$10:$B$11)</f>
        <v>49</v>
      </c>
      <c r="C5" s="41">
        <f>DSUM(データ表!$A$1:$J$33,C$2,$B$10:$B$11)</f>
        <v>84</v>
      </c>
      <c r="D5" s="41">
        <f>DSUM(データ表!$A$1:$J$33,8,$B$10:$B$11)+DSUM(データ表!$A$1:$J$33,10,$B$10:$B$11)</f>
        <v>1782770</v>
      </c>
      <c r="E5" s="43">
        <f t="shared" si="2"/>
        <v>110532</v>
      </c>
      <c r="F5" s="3">
        <f>D5-E5</f>
        <v>1672238</v>
      </c>
      <c r="G5" s="54" t="str">
        <f t="shared" si="3"/>
        <v/>
      </c>
      <c r="H5" s="14"/>
      <c r="I5" s="7" t="s">
        <v>36</v>
      </c>
      <c r="J5" s="41">
        <f>SUMIF(データ表!$D$2:$D$33,$I5,データ表!$E$2:$E$33)</f>
        <v>28</v>
      </c>
      <c r="K5" s="41">
        <f>SUMIF(データ表!$D$2:$D$33,$I5,データ表!$F$2:$F$33)</f>
        <v>45</v>
      </c>
      <c r="L5" s="15">
        <f>SUMIF(データ表!$D$2:$D$33,$I5,データ表!$H$2:$H$33)</f>
        <v>1053500</v>
      </c>
      <c r="M5" s="15">
        <f>SUMIF(データ表!$D$2:$D$33,$I5,データ表!$J$2:$J$33)</f>
        <v>109200</v>
      </c>
      <c r="N5" s="35">
        <f t="shared" si="0"/>
        <v>1162700</v>
      </c>
      <c r="O5" s="30">
        <f t="shared" si="1"/>
        <v>0.15735701921658482</v>
      </c>
    </row>
    <row r="6" spans="1:20">
      <c r="A6" s="24" t="s">
        <v>29</v>
      </c>
      <c r="B6" s="41">
        <f>DSUM(データ表!$A$1:$J$33,B$2,$A$10:$A$11)</f>
        <v>44</v>
      </c>
      <c r="C6" s="41">
        <f>DSUM(データ表!$A$1:$J$33,C$2,$A$10:$A$11)</f>
        <v>90</v>
      </c>
      <c r="D6" s="41">
        <f>DSUM(データ表!$A$1:$J$33,8,$A$10:$A$11)+DSUM(データ表!$A$1:$J$33,10,$A$10:$A$11)</f>
        <v>1537820</v>
      </c>
      <c r="E6" s="43">
        <f t="shared" si="2"/>
        <v>109186</v>
      </c>
      <c r="F6" s="3">
        <f>D6-E6</f>
        <v>1428634</v>
      </c>
      <c r="G6" s="54" t="str">
        <f t="shared" si="3"/>
        <v>Ａ</v>
      </c>
      <c r="H6" s="14"/>
      <c r="I6" s="7" t="s">
        <v>38</v>
      </c>
      <c r="J6" s="41">
        <f>SUMIF(データ表!$D$2:$D$33,$I6,データ表!$E$2:$E$33)</f>
        <v>23</v>
      </c>
      <c r="K6" s="41">
        <f>SUMIF(データ表!$D$2:$D$33,$I6,データ表!$F$2:$F$33)</f>
        <v>46</v>
      </c>
      <c r="L6" s="15">
        <f>SUMIF(データ表!$D$2:$D$33,$I6,データ表!$H$2:$H$33)</f>
        <v>844050</v>
      </c>
      <c r="M6" s="15">
        <f>SUMIF(データ表!$D$2:$D$33,$I6,データ表!$J$2:$J$33)</f>
        <v>77800</v>
      </c>
      <c r="N6" s="35">
        <f t="shared" si="0"/>
        <v>921850</v>
      </c>
      <c r="O6" s="30">
        <f t="shared" si="1"/>
        <v>0.12476095997661367</v>
      </c>
      <c r="R6" s="4" t="s">
        <v>21</v>
      </c>
      <c r="S6" s="48" t="s">
        <v>21</v>
      </c>
      <c r="T6" s="27" t="s">
        <v>27</v>
      </c>
    </row>
    <row r="7" spans="1:20" ht="14.25" thickBot="1">
      <c r="A7" s="7"/>
      <c r="B7" s="45"/>
      <c r="C7" s="2"/>
      <c r="D7" s="2"/>
      <c r="E7" s="2"/>
      <c r="F7" s="2"/>
      <c r="G7" s="8"/>
      <c r="H7" s="14"/>
      <c r="I7" s="7" t="s">
        <v>40</v>
      </c>
      <c r="J7" s="41">
        <f>SUMIF(データ表!$D$2:$D$33,$I7,データ表!$E$2:$E$33)</f>
        <v>25</v>
      </c>
      <c r="K7" s="41">
        <f>SUMIF(データ表!$D$2:$D$33,$I7,データ表!$F$2:$F$33)</f>
        <v>44</v>
      </c>
      <c r="L7" s="15">
        <f>SUMIF(データ表!$D$2:$D$33,$I7,データ表!$H$2:$H$33)</f>
        <v>773130</v>
      </c>
      <c r="M7" s="15">
        <f>SUMIF(データ表!$D$2:$D$33,$I7,データ表!$J$2:$J$33)</f>
        <v>89800</v>
      </c>
      <c r="N7" s="35">
        <f t="shared" si="0"/>
        <v>862930</v>
      </c>
      <c r="O7" s="30">
        <f t="shared" si="1"/>
        <v>0.1167868690053905</v>
      </c>
      <c r="R7" s="9" t="s">
        <v>50</v>
      </c>
      <c r="S7" s="49" t="s">
        <v>51</v>
      </c>
      <c r="T7" s="50" t="s">
        <v>52</v>
      </c>
    </row>
    <row r="8" spans="1:20" ht="14.25" thickBot="1">
      <c r="A8" s="13" t="s">
        <v>18</v>
      </c>
      <c r="B8" s="11">
        <f t="shared" ref="B8:F8" si="4">SUM(B3:B6)</f>
        <v>200</v>
      </c>
      <c r="C8" s="11">
        <f t="shared" si="4"/>
        <v>345</v>
      </c>
      <c r="D8" s="10">
        <f t="shared" si="4"/>
        <v>7388930</v>
      </c>
      <c r="E8" s="10">
        <f t="shared" si="4"/>
        <v>491113</v>
      </c>
      <c r="F8" s="10">
        <f t="shared" si="4"/>
        <v>6897817</v>
      </c>
      <c r="G8" s="52"/>
      <c r="H8" s="14"/>
      <c r="I8" s="7" t="s">
        <v>42</v>
      </c>
      <c r="J8" s="41">
        <f>SUMIF(データ表!$D$2:$D$33,$I8,データ表!$E$2:$E$33)</f>
        <v>23</v>
      </c>
      <c r="K8" s="41">
        <f>SUMIF(データ表!$D$2:$D$33,$I8,データ表!$F$2:$F$33)</f>
        <v>52</v>
      </c>
      <c r="L8" s="15">
        <f>SUMIF(データ表!$D$2:$D$33,$I8,データ表!$H$2:$H$33)</f>
        <v>829520</v>
      </c>
      <c r="M8" s="15">
        <f>SUMIF(データ表!$D$2:$D$33,$I8,データ表!$J$2:$J$33)</f>
        <v>71300</v>
      </c>
      <c r="N8" s="35">
        <f t="shared" si="0"/>
        <v>900820</v>
      </c>
      <c r="O8" s="30">
        <f t="shared" si="1"/>
        <v>0.12191481039879928</v>
      </c>
      <c r="R8" s="4" t="s">
        <v>56</v>
      </c>
      <c r="S8" s="6" t="s">
        <v>48</v>
      </c>
      <c r="T8" s="14"/>
    </row>
    <row r="9" spans="1:20" ht="14.25" thickBot="1">
      <c r="F9" s="19"/>
      <c r="I9" s="7" t="s">
        <v>43</v>
      </c>
      <c r="J9" s="41">
        <f>SUMIF(データ表!$D$2:$D$33,$I9,データ表!$E$2:$E$33)</f>
        <v>27</v>
      </c>
      <c r="K9" s="41">
        <f>SUMIF(データ表!$D$2:$D$33,$I9,データ表!$F$2:$F$33)</f>
        <v>36</v>
      </c>
      <c r="L9" s="15">
        <f>SUMIF(データ表!$D$2:$D$33,$I9,データ表!$H$2:$H$33)</f>
        <v>688170</v>
      </c>
      <c r="M9" s="15">
        <f>SUMIF(データ表!$D$2:$D$33,$I9,データ表!$J$2:$J$33)</f>
        <v>66200</v>
      </c>
      <c r="N9" s="35">
        <f t="shared" si="0"/>
        <v>754370</v>
      </c>
      <c r="O9" s="30">
        <f t="shared" si="1"/>
        <v>0.1020946199246711</v>
      </c>
      <c r="R9" s="9" t="s">
        <v>47</v>
      </c>
      <c r="S9" s="12" t="s">
        <v>49</v>
      </c>
    </row>
    <row r="10" spans="1:20" ht="14.25" thickBot="1">
      <c r="A10" s="27" t="s">
        <v>56</v>
      </c>
      <c r="B10" s="27" t="s">
        <v>56</v>
      </c>
      <c r="C10" s="27" t="s">
        <v>56</v>
      </c>
      <c r="D10" s="27" t="s">
        <v>56</v>
      </c>
      <c r="I10" s="9" t="s">
        <v>45</v>
      </c>
      <c r="J10" s="23">
        <f>SUMIF(データ表!$D$2:$D$33,$I10,データ表!$E$2:$E$33)</f>
        <v>25</v>
      </c>
      <c r="K10" s="23">
        <f>SUMIF(データ表!$D$2:$D$33,$I10,データ表!$F$2:$F$33)</f>
        <v>39</v>
      </c>
      <c r="L10" s="17">
        <f>SUMIF(データ表!$D$2:$D$33,$I10,データ表!$H$2:$H$33)</f>
        <v>531300</v>
      </c>
      <c r="M10" s="17">
        <f>SUMIF(データ表!$D$2:$D$33,$I10,データ表!$J$2:$J$33)</f>
        <v>50400</v>
      </c>
      <c r="N10" s="36">
        <f t="shared" si="0"/>
        <v>581700</v>
      </c>
      <c r="O10" s="31">
        <f t="shared" si="1"/>
        <v>7.8725877765792887E-2</v>
      </c>
      <c r="R10" s="27" t="s">
        <v>26</v>
      </c>
      <c r="S10" s="14"/>
      <c r="T10" s="14"/>
    </row>
    <row r="11" spans="1:20" ht="14.25" thickBot="1">
      <c r="A11" s="28" t="s">
        <v>29</v>
      </c>
      <c r="B11" s="28" t="s">
        <v>30</v>
      </c>
      <c r="C11" s="28" t="s">
        <v>31</v>
      </c>
      <c r="D11" s="28" t="s">
        <v>32</v>
      </c>
      <c r="J11" s="33"/>
      <c r="N11" s="33"/>
      <c r="O11" s="46"/>
      <c r="R11" s="40">
        <f>MIN(データ表!H2:H33)</f>
        <v>107800</v>
      </c>
    </row>
    <row r="12" spans="1:20">
      <c r="I12" s="14"/>
      <c r="J12" s="14"/>
      <c r="K12" s="14"/>
      <c r="L12" s="14"/>
      <c r="M12" s="14"/>
      <c r="N12" s="14"/>
      <c r="O12" s="14"/>
    </row>
    <row r="13" spans="1:20">
      <c r="E13" s="20"/>
      <c r="F13" s="20"/>
    </row>
    <row r="14" spans="1:20">
      <c r="I14" s="14"/>
      <c r="J14" s="14"/>
      <c r="K14" s="14"/>
    </row>
    <row r="34" spans="9:9">
      <c r="I34" t="s">
        <v>58</v>
      </c>
    </row>
  </sheetData>
  <sortState xmlns:xlrd2="http://schemas.microsoft.com/office/spreadsheetml/2017/richdata2" ref="A3:G6">
    <sortCondition descending="1" ref="F3:F6"/>
  </sortState>
  <mergeCells count="2">
    <mergeCell ref="A1:G1"/>
    <mergeCell ref="I1:O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scale="71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2022-12-01T04:25:39Z</cp:lastPrinted>
  <dcterms:created xsi:type="dcterms:W3CDTF">2019-03-28T01:49:55Z</dcterms:created>
  <dcterms:modified xsi:type="dcterms:W3CDTF">2024-12-25T03:02:02Z</dcterms:modified>
</cp:coreProperties>
</file>