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kentei\Desktop\模範解答\"/>
    </mc:Choice>
  </mc:AlternateContent>
  <xr:revisionPtr revIDLastSave="0" documentId="13_ncr:1_{74502598-449B-4AFD-814E-B8E38030AF27}" xr6:coauthVersionLast="47" xr6:coauthVersionMax="47" xr10:uidLastSave="{00000000-0000-0000-0000-000000000000}"/>
  <bookViews>
    <workbookView xWindow="-120" yWindow="-120" windowWidth="29040" windowHeight="15720" xr2:uid="{86E23B2F-6F5F-4B2C-B978-EE4A60B535BE}"/>
  </bookViews>
  <sheets>
    <sheet name="テーブル" sheetId="1" r:id="rId1"/>
    <sheet name="仕入データ表" sheetId="5" r:id="rId2"/>
    <sheet name="売上データ表" sheetId="6" r:id="rId3"/>
    <sheet name="計算表" sheetId="7" r:id="rId4"/>
  </sheets>
  <definedNames>
    <definedName name="_xlnm._FilterDatabase" localSheetId="1" hidden="1">仕入データ表!$A$1:$G$31</definedName>
    <definedName name="_xlnm.Criteria" localSheetId="1">仕入データ表!$I$2:$J$4</definedName>
    <definedName name="_xlnm.Extract" localSheetId="1">仕入データ表!#REF!</definedName>
    <definedName name="仕入データ表" localSheetId="1">仕入データ表!$A$2:$A$25</definedName>
    <definedName name="仕入データ表_1" localSheetId="1">仕入データ表!$A$7:$A$30</definedName>
  </definedName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7" l="1"/>
  <c r="G5" i="7"/>
  <c r="G6" i="7"/>
  <c r="G7" i="7"/>
  <c r="G3" i="7"/>
  <c r="L5" i="7"/>
  <c r="L4" i="7"/>
  <c r="L3" i="7"/>
  <c r="N7" i="7"/>
  <c r="N6" i="7"/>
  <c r="R13" i="5"/>
  <c r="Q13" i="5"/>
  <c r="O13" i="5"/>
  <c r="E6" i="7"/>
  <c r="E3" i="7"/>
  <c r="E4" i="7"/>
  <c r="E7" i="7"/>
  <c r="E5" i="7"/>
  <c r="C6" i="7"/>
  <c r="C3" i="7"/>
  <c r="C4" i="7"/>
  <c r="C7" i="7"/>
  <c r="C5" i="7"/>
  <c r="C3" i="6" l="1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" i="6"/>
  <c r="E5" i="5"/>
  <c r="F5" i="5" s="1"/>
  <c r="E4" i="5"/>
  <c r="F4" i="5" s="1"/>
  <c r="E3" i="5"/>
  <c r="F3" i="5" s="1"/>
  <c r="E2" i="5"/>
  <c r="F2" i="5" s="1"/>
  <c r="E6" i="5"/>
  <c r="E7" i="5"/>
  <c r="F7" i="5" s="1"/>
  <c r="E8" i="5"/>
  <c r="E9" i="5"/>
  <c r="E10" i="5"/>
  <c r="E11" i="5"/>
  <c r="F11" i="5" s="1"/>
  <c r="E12" i="5"/>
  <c r="F12" i="5" s="1"/>
  <c r="E13" i="5"/>
  <c r="F13" i="5" s="1"/>
  <c r="E14" i="5"/>
  <c r="F14" i="5" s="1"/>
  <c r="E15" i="5"/>
  <c r="F15" i="5" s="1"/>
  <c r="E16" i="5"/>
  <c r="F16" i="5" s="1"/>
  <c r="E17" i="5"/>
  <c r="F17" i="5" s="1"/>
  <c r="E18" i="5"/>
  <c r="F18" i="5" s="1"/>
  <c r="E19" i="5"/>
  <c r="F19" i="5" s="1"/>
  <c r="E20" i="5"/>
  <c r="F20" i="5" s="1"/>
  <c r="E21" i="5"/>
  <c r="F21" i="5" s="1"/>
  <c r="E22" i="5"/>
  <c r="F22" i="5" s="1"/>
  <c r="E23" i="5"/>
  <c r="F23" i="5" s="1"/>
  <c r="E24" i="5"/>
  <c r="F24" i="5" s="1"/>
  <c r="E25" i="5"/>
  <c r="F25" i="5" s="1"/>
  <c r="E26" i="5"/>
  <c r="E27" i="5"/>
  <c r="F27" i="5" s="1"/>
  <c r="E28" i="5"/>
  <c r="F28" i="5" s="1"/>
  <c r="E29" i="5"/>
  <c r="F29" i="5" s="1"/>
  <c r="E30" i="5"/>
  <c r="F30" i="5" s="1"/>
  <c r="E31" i="5"/>
  <c r="F31" i="5" s="1"/>
  <c r="F26" i="5"/>
  <c r="F6" i="5"/>
  <c r="F8" i="5"/>
  <c r="F9" i="5"/>
  <c r="F10" i="5"/>
  <c r="G2" i="6"/>
  <c r="G2" i="5" l="1"/>
  <c r="J4" i="7"/>
  <c r="J5" i="7"/>
  <c r="J6" i="7"/>
  <c r="J7" i="7"/>
  <c r="J3" i="7"/>
  <c r="D33" i="5" l="1"/>
  <c r="F4" i="7" l="1"/>
  <c r="F6" i="7"/>
  <c r="F5" i="7"/>
  <c r="F3" i="7"/>
  <c r="F7" i="7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C31" i="5"/>
  <c r="C30" i="5"/>
  <c r="C29" i="5"/>
  <c r="C28" i="5"/>
  <c r="C27" i="5"/>
  <c r="C26" i="5"/>
  <c r="C25" i="5"/>
  <c r="C24" i="5"/>
  <c r="C23" i="5"/>
  <c r="C22" i="5"/>
  <c r="D6" i="7" l="1"/>
  <c r="D5" i="7"/>
  <c r="D3" i="7"/>
  <c r="D7" i="7"/>
  <c r="D4" i="7"/>
  <c r="G9" i="7"/>
  <c r="F9" i="7"/>
  <c r="C21" i="5"/>
  <c r="C20" i="5"/>
  <c r="C19" i="5"/>
  <c r="C18" i="5"/>
  <c r="C17" i="5"/>
  <c r="B7" i="7" l="1"/>
  <c r="B4" i="7"/>
  <c r="B3" i="7"/>
  <c r="B6" i="7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" i="6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2" i="5"/>
  <c r="B5" i="7" l="1"/>
  <c r="F33" i="5"/>
  <c r="F28" i="6"/>
  <c r="E9" i="7" l="1"/>
  <c r="C9" i="7"/>
  <c r="G33" i="5" l="1"/>
  <c r="D9" i="7" l="1"/>
  <c r="K4" i="7"/>
  <c r="K5" i="7"/>
  <c r="K6" i="7"/>
  <c r="L6" i="7" s="1"/>
  <c r="K7" i="7"/>
  <c r="L7" i="7" s="1"/>
  <c r="K3" i="7"/>
  <c r="K9" i="7" l="1"/>
  <c r="M7" i="7"/>
  <c r="M6" i="7"/>
  <c r="M5" i="7"/>
  <c r="N5" i="7" s="1"/>
  <c r="M4" i="7"/>
  <c r="N4" i="7" s="1"/>
  <c r="M3" i="7"/>
  <c r="N3" i="7" s="1"/>
  <c r="L9" i="7" l="1"/>
  <c r="M9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857C7EF-65FE-4DE1-8563-92F8CAA51858}" name="仕入データ表" type="6" refreshedVersion="8" background="1" saveData="1">
    <textPr codePage="932" sourceFile="\\svr01\問題制作フォルダー\01_検定問題\1表計算\2024(令和06)年度\04_2月検定\SPS_140\仕入データ表.csv" comma="1">
      <textFields count="4">
        <textField/>
        <textField/>
        <textField/>
        <textField/>
      </textFields>
    </textPr>
  </connection>
  <connection id="2" xr16:uid="{6BE6E2EF-7CA9-45A1-B5EF-08231EA0C2EC}" name="仕入データ表1" type="6" refreshedVersion="8" background="1" saveData="1">
    <textPr codePage="932" sourceFile="\\svr01\問題制作フォルダー\01_検定問題\1表計算\2024(令和06)年度\04_2月検定\SPS_140\仕入データ表.csv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<sst xmlns="http://schemas.openxmlformats.org/spreadsheetml/2006/main" count="124" uniqueCount="67">
  <si>
    <t>商ＣＯ</t>
  </si>
  <si>
    <t>商品名</t>
  </si>
  <si>
    <t>仕入数</t>
  </si>
  <si>
    <t>＜商品テーブル＞</t>
  </si>
  <si>
    <t>原価</t>
  </si>
  <si>
    <t>合　計</t>
  </si>
  <si>
    <t>定価</t>
  </si>
  <si>
    <t>得ＣＯ</t>
  </si>
  <si>
    <t>得意先名</t>
  </si>
  <si>
    <t>売上数</t>
  </si>
  <si>
    <t>売価</t>
  </si>
  <si>
    <t>売上額</t>
  </si>
  <si>
    <t>＜得意先テーブル＞</t>
  </si>
  <si>
    <t>区分</t>
  </si>
  <si>
    <t>仕入額</t>
  </si>
  <si>
    <t>原価(＄)</t>
  </si>
  <si>
    <t xml:space="preserve"> </t>
  </si>
  <si>
    <t>商品名</t>
    <rPh sb="0" eb="2">
      <t>ショウヒン</t>
    </rPh>
    <rPh sb="2" eb="3">
      <t>メイ</t>
    </rPh>
    <phoneticPr fontId="1"/>
  </si>
  <si>
    <t>得意先名</t>
    <rPh sb="0" eb="3">
      <t>トクイサキ</t>
    </rPh>
    <rPh sb="3" eb="4">
      <t>メイ</t>
    </rPh>
    <phoneticPr fontId="1"/>
  </si>
  <si>
    <t>仕入数</t>
    <rPh sb="0" eb="2">
      <t>シイレ</t>
    </rPh>
    <rPh sb="2" eb="3">
      <t>スウ</t>
    </rPh>
    <phoneticPr fontId="1"/>
  </si>
  <si>
    <t>仕入額</t>
    <rPh sb="0" eb="3">
      <t>シイレガク</t>
    </rPh>
    <phoneticPr fontId="1"/>
  </si>
  <si>
    <t>合　計</t>
    <phoneticPr fontId="1"/>
  </si>
  <si>
    <t>商　品　一　覧　表</t>
    <phoneticPr fontId="1"/>
  </si>
  <si>
    <t>請求額</t>
    <rPh sb="0" eb="3">
      <t>セイキュウガク</t>
    </rPh>
    <phoneticPr fontId="1"/>
  </si>
  <si>
    <t>諸経費</t>
    <rPh sb="0" eb="3">
      <t>ショケイヒ</t>
    </rPh>
    <phoneticPr fontId="1"/>
  </si>
  <si>
    <t>得意先別請求額計算表</t>
    <rPh sb="0" eb="4">
      <t>トクイサキベツ</t>
    </rPh>
    <rPh sb="4" eb="7">
      <t>セイキュウガク</t>
    </rPh>
    <rPh sb="7" eb="9">
      <t>ケイサン</t>
    </rPh>
    <rPh sb="9" eb="10">
      <t>ヒョウ</t>
    </rPh>
    <phoneticPr fontId="1"/>
  </si>
  <si>
    <t>＜為替レートテーブル＞</t>
    <phoneticPr fontId="1"/>
  </si>
  <si>
    <t>為替レート</t>
    <phoneticPr fontId="1"/>
  </si>
  <si>
    <t>手数料</t>
    <rPh sb="0" eb="3">
      <t>テスウリョウ</t>
    </rPh>
    <phoneticPr fontId="1"/>
  </si>
  <si>
    <t>商品Ｅ</t>
    <phoneticPr fontId="1"/>
  </si>
  <si>
    <t>商品Ｄ</t>
    <phoneticPr fontId="1"/>
  </si>
  <si>
    <t>商品Ｆ</t>
    <phoneticPr fontId="1"/>
  </si>
  <si>
    <t>商品Ｇ</t>
    <phoneticPr fontId="1"/>
  </si>
  <si>
    <t>商品Ｈ</t>
    <phoneticPr fontId="1"/>
  </si>
  <si>
    <t>期末在庫数</t>
    <rPh sb="0" eb="2">
      <t>キマツ</t>
    </rPh>
    <rPh sb="2" eb="5">
      <t>ザイコスウ</t>
    </rPh>
    <phoneticPr fontId="1"/>
  </si>
  <si>
    <t>&lt;220</t>
    <phoneticPr fontId="1"/>
  </si>
  <si>
    <t>＜値引率テーブル＞</t>
    <rPh sb="1" eb="2">
      <t>ネ</t>
    </rPh>
    <phoneticPr fontId="1"/>
  </si>
  <si>
    <t>値引率</t>
    <rPh sb="0" eb="1">
      <t>ネ</t>
    </rPh>
    <phoneticPr fontId="1"/>
  </si>
  <si>
    <t>マルイチ</t>
    <phoneticPr fontId="1"/>
  </si>
  <si>
    <t>井上企画</t>
    <rPh sb="0" eb="2">
      <t>イノウエ</t>
    </rPh>
    <rPh sb="2" eb="4">
      <t>キカク</t>
    </rPh>
    <phoneticPr fontId="1"/>
  </si>
  <si>
    <t>ＳＫ商事</t>
    <rPh sb="2" eb="4">
      <t>ショウジ</t>
    </rPh>
    <phoneticPr fontId="1"/>
  </si>
  <si>
    <t>杉山物産</t>
    <rPh sb="0" eb="2">
      <t>スギヤマ</t>
    </rPh>
    <rPh sb="2" eb="4">
      <t>ブッサン</t>
    </rPh>
    <phoneticPr fontId="1"/>
  </si>
  <si>
    <t>三愛総業</t>
    <rPh sb="0" eb="2">
      <t>サンアイ</t>
    </rPh>
    <rPh sb="2" eb="4">
      <t>ソウギョウ</t>
    </rPh>
    <phoneticPr fontId="1"/>
  </si>
  <si>
    <t>前月比率</t>
    <rPh sb="0" eb="2">
      <t>ゼンゲツ</t>
    </rPh>
    <rPh sb="2" eb="4">
      <t>ヒリツ</t>
    </rPh>
    <phoneticPr fontId="1"/>
  </si>
  <si>
    <t>前月請求額</t>
    <rPh sb="0" eb="2">
      <t>ゼンゲツ</t>
    </rPh>
    <rPh sb="2" eb="5">
      <t>セイキュウガク</t>
    </rPh>
    <phoneticPr fontId="1"/>
  </si>
  <si>
    <t>L</t>
    <phoneticPr fontId="1"/>
  </si>
  <si>
    <t>M</t>
    <phoneticPr fontId="1"/>
  </si>
  <si>
    <t>N</t>
    <phoneticPr fontId="1"/>
  </si>
  <si>
    <t>101N</t>
  </si>
  <si>
    <t>101N</t>
    <phoneticPr fontId="1"/>
  </si>
  <si>
    <t>102M</t>
  </si>
  <si>
    <t>102M</t>
    <phoneticPr fontId="1"/>
  </si>
  <si>
    <t>103L</t>
  </si>
  <si>
    <t>103L</t>
    <phoneticPr fontId="1"/>
  </si>
  <si>
    <t>104M</t>
  </si>
  <si>
    <t>104M</t>
    <phoneticPr fontId="1"/>
  </si>
  <si>
    <t>105L</t>
  </si>
  <si>
    <t>105L</t>
    <phoneticPr fontId="1"/>
  </si>
  <si>
    <t>&lt;730000</t>
    <phoneticPr fontId="1"/>
  </si>
  <si>
    <t>商品Ｇ</t>
  </si>
  <si>
    <t>商品Ｄ</t>
  </si>
  <si>
    <t>商品Ｆ</t>
  </si>
  <si>
    <t>商品Ｅ</t>
  </si>
  <si>
    <t>仕入数220未満または仕入額73万円未満</t>
    <rPh sb="0" eb="2">
      <t>シイレ</t>
    </rPh>
    <rPh sb="2" eb="3">
      <t>スウ</t>
    </rPh>
    <rPh sb="6" eb="8">
      <t>ミマン</t>
    </rPh>
    <rPh sb="11" eb="14">
      <t>シイレガク</t>
    </rPh>
    <rPh sb="16" eb="18">
      <t>マンエン</t>
    </rPh>
    <rPh sb="18" eb="20">
      <t>ミマン</t>
    </rPh>
    <phoneticPr fontId="1"/>
  </si>
  <si>
    <t>仕入日</t>
    <rPh sb="0" eb="2">
      <t>シイレ</t>
    </rPh>
    <rPh sb="2" eb="3">
      <t>ビ</t>
    </rPh>
    <phoneticPr fontId="1"/>
  </si>
  <si>
    <t>売上日</t>
    <rPh sb="0" eb="3">
      <t>ウリアゲビ</t>
    </rPh>
    <phoneticPr fontId="1"/>
  </si>
  <si>
    <t>在庫評価額</t>
    <rPh sb="0" eb="2">
      <t>ザイコ</t>
    </rPh>
    <rPh sb="2" eb="4">
      <t>ヒョウカ</t>
    </rPh>
    <rPh sb="4" eb="5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</si>
</sst>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yyyy/m/d;@"/>
  </numFmts>
  <fonts count="7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11"/>
      <name val="ＭＳ 明朝"/>
      <family val="2"/>
      <charset val="128"/>
    </font>
    <font>
      <sz val="11"/>
      <name val="ＭＳ 明朝"/>
      <family val="1"/>
      <charset val="128"/>
    </font>
    <font>
      <sz val="11"/>
      <color rgb="FFFF0000"/>
      <name val="ＭＳ 明朝"/>
      <family val="2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3" fontId="0" fillId="0" borderId="6" xfId="0" applyNumberForma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3" fontId="0" fillId="0" borderId="8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>
      <alignment vertical="center"/>
    </xf>
    <xf numFmtId="3" fontId="0" fillId="0" borderId="9" xfId="0" applyNumberFormat="1" applyBorder="1">
      <alignment vertical="center"/>
    </xf>
    <xf numFmtId="0" fontId="0" fillId="0" borderId="0" xfId="0" applyAlignment="1">
      <alignment horizontal="center" vertical="center"/>
    </xf>
    <xf numFmtId="3" fontId="3" fillId="0" borderId="1" xfId="0" applyNumberFormat="1" applyFon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3" fontId="3" fillId="0" borderId="6" xfId="0" applyNumberFormat="1" applyFont="1" applyBorder="1">
      <alignment vertical="center"/>
    </xf>
    <xf numFmtId="177" fontId="0" fillId="0" borderId="0" xfId="0" applyNumberFormat="1">
      <alignment vertical="center"/>
    </xf>
    <xf numFmtId="38" fontId="3" fillId="0" borderId="1" xfId="2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4" fillId="0" borderId="1" xfId="0" applyFont="1" applyBorder="1">
      <alignment vertical="center"/>
    </xf>
    <xf numFmtId="4" fontId="4" fillId="0" borderId="1" xfId="0" applyNumberFormat="1" applyFont="1" applyBorder="1">
      <alignment vertical="center"/>
    </xf>
    <xf numFmtId="38" fontId="0" fillId="0" borderId="1" xfId="2" applyFont="1" applyBorder="1" applyAlignment="1">
      <alignment horizontal="right" vertical="center"/>
    </xf>
    <xf numFmtId="0" fontId="3" fillId="0" borderId="5" xfId="0" applyFont="1" applyBorder="1">
      <alignment vertical="center"/>
    </xf>
    <xf numFmtId="38" fontId="0" fillId="0" borderId="1" xfId="0" applyNumberFormat="1" applyBorder="1">
      <alignment vertical="center"/>
    </xf>
    <xf numFmtId="176" fontId="4" fillId="0" borderId="1" xfId="0" applyNumberFormat="1" applyFont="1" applyBorder="1">
      <alignment vertical="center"/>
    </xf>
    <xf numFmtId="38" fontId="0" fillId="0" borderId="1" xfId="2" applyFont="1" applyBorder="1">
      <alignment vertical="center"/>
    </xf>
    <xf numFmtId="38" fontId="4" fillId="0" borderId="1" xfId="2" applyFont="1" applyBorder="1">
      <alignment vertical="center"/>
    </xf>
    <xf numFmtId="176" fontId="0" fillId="0" borderId="6" xfId="1" applyNumberFormat="1" applyFont="1" applyBorder="1">
      <alignment vertical="center"/>
    </xf>
    <xf numFmtId="0" fontId="3" fillId="0" borderId="1" xfId="0" applyFont="1" applyBorder="1">
      <alignment vertical="center"/>
    </xf>
    <xf numFmtId="0" fontId="4" fillId="0" borderId="9" xfId="0" applyFont="1" applyBorder="1">
      <alignment vertical="center"/>
    </xf>
    <xf numFmtId="14" fontId="0" fillId="0" borderId="5" xfId="0" applyNumberFormat="1" applyBorder="1">
      <alignment vertical="center"/>
    </xf>
    <xf numFmtId="14" fontId="0" fillId="0" borderId="7" xfId="0" applyNumberFormat="1" applyBorder="1">
      <alignment vertical="center"/>
    </xf>
    <xf numFmtId="14" fontId="0" fillId="0" borderId="0" xfId="0" applyNumberFormat="1">
      <alignment vertical="center"/>
    </xf>
    <xf numFmtId="38" fontId="0" fillId="0" borderId="0" xfId="2" applyFont="1" applyBorder="1">
      <alignment vertical="center"/>
    </xf>
    <xf numFmtId="38" fontId="5" fillId="0" borderId="0" xfId="2" applyFont="1" applyBorder="1">
      <alignment vertical="center"/>
    </xf>
    <xf numFmtId="0" fontId="4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B3B3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+mn-ea"/>
                <a:cs typeface="+mn-cs"/>
              </a:defRPr>
            </a:pPr>
            <a:r>
              <a:rPr lang="ja-JP" altLang="en-US" sz="110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商品別の集計グラフ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ＭＳ 明朝" panose="02020609040205080304" pitchFamily="17" charset="-128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計算表!$D$2</c:f>
              <c:strCache>
                <c:ptCount val="1"/>
                <c:pt idx="0">
                  <c:v>仕入額</c:v>
                </c:pt>
              </c:strCache>
            </c:strRef>
          </c:tx>
          <c:spPr>
            <a:solidFill>
              <a:srgbClr val="B3B3B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計算表!$B$3:$B$7</c:f>
              <c:strCache>
                <c:ptCount val="5"/>
                <c:pt idx="0">
                  <c:v>商品Ｇ</c:v>
                </c:pt>
                <c:pt idx="1">
                  <c:v>商品Ｆ</c:v>
                </c:pt>
                <c:pt idx="2">
                  <c:v>商品Ｄ</c:v>
                </c:pt>
                <c:pt idx="3">
                  <c:v>商品Ｈ</c:v>
                </c:pt>
                <c:pt idx="4">
                  <c:v>商品Ｅ</c:v>
                </c:pt>
              </c:strCache>
            </c:strRef>
          </c:cat>
          <c:val>
            <c:numRef>
              <c:f>計算表!$D$3:$D$7</c:f>
              <c:numCache>
                <c:formatCode>#,##0</c:formatCode>
                <c:ptCount val="5"/>
                <c:pt idx="0">
                  <c:v>5170836</c:v>
                </c:pt>
                <c:pt idx="1">
                  <c:v>3980710</c:v>
                </c:pt>
                <c:pt idx="2">
                  <c:v>5155625</c:v>
                </c:pt>
                <c:pt idx="3">
                  <c:v>4917854</c:v>
                </c:pt>
                <c:pt idx="4">
                  <c:v>4912268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EF-425E-9030-2239EC3A0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029758048"/>
        <c:axId val="1029761888"/>
      </c:barChart>
      <c:lineChart>
        <c:grouping val="standard"/>
        <c:varyColors val="0"/>
        <c:ser>
          <c:idx val="0"/>
          <c:order val="0"/>
          <c:tx>
            <c:strRef>
              <c:f>計算表!$C$2</c:f>
              <c:strCache>
                <c:ptCount val="1"/>
                <c:pt idx="0">
                  <c:v>仕入数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計算表!$B$3:$B$7</c:f>
              <c:strCache>
                <c:ptCount val="5"/>
                <c:pt idx="0">
                  <c:v>商品Ｇ</c:v>
                </c:pt>
                <c:pt idx="1">
                  <c:v>商品Ｆ</c:v>
                </c:pt>
                <c:pt idx="2">
                  <c:v>商品Ｄ</c:v>
                </c:pt>
                <c:pt idx="3">
                  <c:v>商品Ｈ</c:v>
                </c:pt>
                <c:pt idx="4">
                  <c:v>商品Ｅ</c:v>
                </c:pt>
              </c:strCache>
            </c:strRef>
          </c:cat>
          <c:val>
            <c:numRef>
              <c:f>計算表!$C$3:$C$7</c:f>
              <c:numCache>
                <c:formatCode>#,##0</c:formatCode>
                <c:ptCount val="5"/>
                <c:pt idx="0">
                  <c:v>1476</c:v>
                </c:pt>
                <c:pt idx="1">
                  <c:v>1508</c:v>
                </c:pt>
                <c:pt idx="2">
                  <c:v>1785</c:v>
                </c:pt>
                <c:pt idx="3">
                  <c:v>1716</c:v>
                </c:pt>
                <c:pt idx="4">
                  <c:v>1476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EF-425E-9030-2239EC3A0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099720"/>
        <c:axId val="620102016"/>
      </c:lineChart>
      <c:catAx>
        <c:axId val="620099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620102016"/>
        <c:crosses val="autoZero"/>
        <c:auto val="1"/>
        <c:lblAlgn val="ctr"/>
        <c:lblOffset val="100"/>
        <c:noMultiLvlLbl val="0"/>
      </c:catAx>
      <c:valAx>
        <c:axId val="62010201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620099720"/>
        <c:crosses val="autoZero"/>
        <c:crossBetween val="between"/>
      </c:valAx>
      <c:valAx>
        <c:axId val="1029761888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1029758048"/>
        <c:crosses val="max"/>
        <c:crossBetween val="between"/>
      </c:valAx>
      <c:catAx>
        <c:axId val="10297580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29761888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16</xdr:row>
      <xdr:rowOff>104775</xdr:rowOff>
    </xdr:from>
    <xdr:to>
      <xdr:col>16</xdr:col>
      <xdr:colOff>152400</xdr:colOff>
      <xdr:row>32</xdr:row>
      <xdr:rowOff>104775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B6820A41-A6D4-1AF8-0A2B-A129E75204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仕入データ表" connectionId="1" xr16:uid="{482C6025-543D-4CD6-921E-A87F1E848341}" autoFormatId="20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仕入データ表_1" connectionId="2" xr16:uid="{D25483E8-FBD1-4C68-A15D-A60CC80B5D09}" autoFormatId="20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05546-BBE8-4BA7-993C-746B2311E22C}">
  <dimension ref="A1:N31"/>
  <sheetViews>
    <sheetView tabSelected="1" workbookViewId="0"/>
  </sheetViews>
  <sheetFormatPr defaultRowHeight="13.5"/>
  <cols>
    <col min="1" max="2" width="7.5" bestFit="1" customWidth="1"/>
    <col min="3" max="3" width="9.5" bestFit="1" customWidth="1"/>
    <col min="4" max="4" width="6.5" bestFit="1" customWidth="1"/>
    <col min="5" max="5" width="5.5" customWidth="1"/>
    <col min="6" max="6" width="13.25" customWidth="1"/>
    <col min="7" max="7" width="8.875" customWidth="1"/>
    <col min="8" max="8" width="5.625" customWidth="1"/>
    <col min="9" max="9" width="7.5" bestFit="1" customWidth="1"/>
    <col min="10" max="10" width="9.5" bestFit="1" customWidth="1"/>
    <col min="11" max="11" width="11.625" bestFit="1" customWidth="1"/>
    <col min="12" max="12" width="9" customWidth="1"/>
    <col min="13" max="13" width="5.5" customWidth="1"/>
    <col min="14" max="14" width="7.5" bestFit="1" customWidth="1"/>
    <col min="15" max="15" width="9" customWidth="1"/>
  </cols>
  <sheetData>
    <row r="1" spans="1:14">
      <c r="A1" t="s">
        <v>3</v>
      </c>
      <c r="F1" t="s">
        <v>26</v>
      </c>
      <c r="I1" t="s">
        <v>12</v>
      </c>
      <c r="M1" t="s">
        <v>36</v>
      </c>
    </row>
    <row r="2" spans="1:14">
      <c r="A2" s="1" t="s">
        <v>0</v>
      </c>
      <c r="B2" s="1" t="s">
        <v>1</v>
      </c>
      <c r="C2" s="1" t="s">
        <v>15</v>
      </c>
      <c r="D2" s="1" t="s">
        <v>6</v>
      </c>
      <c r="F2" s="1" t="s">
        <v>27</v>
      </c>
      <c r="G2" s="2">
        <v>143.69</v>
      </c>
      <c r="I2" s="1" t="s">
        <v>7</v>
      </c>
      <c r="J2" s="1" t="s">
        <v>8</v>
      </c>
      <c r="K2" s="1" t="s">
        <v>44</v>
      </c>
      <c r="M2" s="1" t="s">
        <v>13</v>
      </c>
      <c r="N2" s="1" t="s">
        <v>37</v>
      </c>
    </row>
    <row r="3" spans="1:14">
      <c r="A3" s="2">
        <v>11</v>
      </c>
      <c r="B3" s="25" t="s">
        <v>30</v>
      </c>
      <c r="C3" s="26">
        <v>19.170000000000002</v>
      </c>
      <c r="D3" s="27">
        <v>3490</v>
      </c>
      <c r="F3" s="21"/>
      <c r="I3" s="2" t="s">
        <v>49</v>
      </c>
      <c r="J3" s="25" t="s">
        <v>38</v>
      </c>
      <c r="K3" s="32">
        <v>4521658</v>
      </c>
      <c r="M3" s="25" t="s">
        <v>45</v>
      </c>
      <c r="N3" s="30">
        <v>7.5999999999999998E-2</v>
      </c>
    </row>
    <row r="4" spans="1:14">
      <c r="A4" s="2">
        <v>12</v>
      </c>
      <c r="B4" s="25" t="s">
        <v>29</v>
      </c>
      <c r="C4" s="26">
        <v>21.94</v>
      </c>
      <c r="D4" s="27">
        <v>3980</v>
      </c>
      <c r="F4" s="21"/>
      <c r="I4" s="2" t="s">
        <v>51</v>
      </c>
      <c r="J4" s="25" t="s">
        <v>39</v>
      </c>
      <c r="K4" s="32">
        <v>6123745</v>
      </c>
      <c r="M4" s="25" t="s">
        <v>46</v>
      </c>
      <c r="N4" s="30">
        <v>6.7000000000000004E-2</v>
      </c>
    </row>
    <row r="5" spans="1:14">
      <c r="A5" s="2">
        <v>13</v>
      </c>
      <c r="B5" s="25" t="s">
        <v>31</v>
      </c>
      <c r="C5" s="26">
        <v>17.36</v>
      </c>
      <c r="D5" s="27">
        <v>3160</v>
      </c>
      <c r="F5" s="21"/>
      <c r="I5" s="2" t="s">
        <v>53</v>
      </c>
      <c r="J5" s="25" t="s">
        <v>40</v>
      </c>
      <c r="K5" s="32">
        <v>5196304</v>
      </c>
      <c r="M5" s="25" t="s">
        <v>47</v>
      </c>
      <c r="N5" s="30">
        <v>5.8000000000000003E-2</v>
      </c>
    </row>
    <row r="6" spans="1:14">
      <c r="A6" s="2">
        <v>14</v>
      </c>
      <c r="B6" s="25" t="s">
        <v>32</v>
      </c>
      <c r="C6" s="26">
        <v>23.28</v>
      </c>
      <c r="D6" s="27">
        <v>4230</v>
      </c>
      <c r="F6" s="21"/>
      <c r="I6" s="2" t="s">
        <v>55</v>
      </c>
      <c r="J6" s="25" t="s">
        <v>41</v>
      </c>
      <c r="K6" s="32">
        <v>5824739</v>
      </c>
    </row>
    <row r="7" spans="1:14">
      <c r="A7" s="2">
        <v>15</v>
      </c>
      <c r="B7" s="25" t="s">
        <v>33</v>
      </c>
      <c r="C7" s="26">
        <v>18.920000000000002</v>
      </c>
      <c r="D7" s="27">
        <v>3460</v>
      </c>
      <c r="F7" s="21"/>
      <c r="I7" s="2" t="s">
        <v>57</v>
      </c>
      <c r="J7" s="25" t="s">
        <v>42</v>
      </c>
      <c r="K7" s="32">
        <v>4862190</v>
      </c>
    </row>
    <row r="8" spans="1:14">
      <c r="F8" s="21"/>
    </row>
    <row r="28" spans="2:2">
      <c r="B28" t="s">
        <v>16</v>
      </c>
    </row>
    <row r="31" spans="2:2">
      <c r="B31" t="s">
        <v>16</v>
      </c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4D00A-C30A-4154-82B7-E342B3F40071}">
  <dimension ref="A1:R33"/>
  <sheetViews>
    <sheetView workbookViewId="0"/>
  </sheetViews>
  <sheetFormatPr defaultRowHeight="13.5"/>
  <cols>
    <col min="1" max="1" width="10.5" bestFit="1" customWidth="1"/>
    <col min="2" max="2" width="7.5" bestFit="1" customWidth="1"/>
    <col min="3" max="3" width="7.5" customWidth="1"/>
    <col min="4" max="4" width="7.5" bestFit="1" customWidth="1"/>
    <col min="5" max="5" width="6.5" bestFit="1" customWidth="1"/>
    <col min="6" max="6" width="10.5" bestFit="1" customWidth="1"/>
    <col min="7" max="7" width="11.625" bestFit="1" customWidth="1"/>
    <col min="8" max="8" width="5.25" customWidth="1"/>
    <col min="9" max="9" width="7.5" bestFit="1" customWidth="1"/>
    <col min="10" max="10" width="8.5" bestFit="1" customWidth="1"/>
    <col min="12" max="12" width="10.5" bestFit="1" customWidth="1"/>
    <col min="13" max="15" width="7.5" bestFit="1" customWidth="1"/>
    <col min="16" max="16" width="6.5" bestFit="1" customWidth="1"/>
    <col min="17" max="17" width="8.5" bestFit="1" customWidth="1"/>
    <col min="18" max="18" width="10.5" bestFit="1" customWidth="1"/>
  </cols>
  <sheetData>
    <row r="1" spans="1:18" ht="14.25" thickBot="1">
      <c r="A1" s="4" t="s">
        <v>64</v>
      </c>
      <c r="B1" s="5" t="s">
        <v>0</v>
      </c>
      <c r="C1" s="5" t="s">
        <v>17</v>
      </c>
      <c r="D1" s="5" t="s">
        <v>2</v>
      </c>
      <c r="E1" s="5" t="s">
        <v>4</v>
      </c>
      <c r="F1" s="5" t="s">
        <v>28</v>
      </c>
      <c r="G1" s="6" t="s">
        <v>14</v>
      </c>
      <c r="L1" s="41" t="s">
        <v>63</v>
      </c>
      <c r="M1" s="41"/>
      <c r="N1" s="41"/>
      <c r="O1" s="41"/>
      <c r="P1" s="41"/>
      <c r="Q1" s="41"/>
      <c r="R1" s="41"/>
    </row>
    <row r="2" spans="1:18">
      <c r="A2" s="36">
        <v>45748</v>
      </c>
      <c r="B2" s="2">
        <v>11</v>
      </c>
      <c r="C2" s="2" t="str">
        <f>VLOOKUP(B2,テーブル!$A$3:$D$7,2,0)</f>
        <v>商品Ｄ</v>
      </c>
      <c r="D2" s="17">
        <v>328</v>
      </c>
      <c r="E2" s="22">
        <f>ROUNDUP(VLOOKUP(B2,テーブル!$A$3:$D$7,3,0)*テーブル!$G$2,0)</f>
        <v>2755</v>
      </c>
      <c r="F2" s="17">
        <f t="shared" ref="F2:F31" si="0">ROUNDUP(IF(OR(D2&gt;=290,E2&gt;=3300),E2*D2*4.7%,E2*D2*5.8%),-1)</f>
        <v>42480</v>
      </c>
      <c r="G2" s="20">
        <f t="shared" ref="G2:G31" si="1">E2*D2+F2</f>
        <v>946120</v>
      </c>
      <c r="H2" s="16"/>
      <c r="I2" s="4" t="s">
        <v>19</v>
      </c>
      <c r="J2" s="6" t="s">
        <v>20</v>
      </c>
      <c r="L2" s="4" t="s">
        <v>64</v>
      </c>
      <c r="M2" s="5" t="s">
        <v>0</v>
      </c>
      <c r="N2" s="5" t="s">
        <v>17</v>
      </c>
      <c r="O2" s="5" t="s">
        <v>2</v>
      </c>
      <c r="P2" s="5" t="s">
        <v>4</v>
      </c>
      <c r="Q2" s="5" t="s">
        <v>28</v>
      </c>
      <c r="R2" s="6" t="s">
        <v>14</v>
      </c>
    </row>
    <row r="3" spans="1:18">
      <c r="A3" s="36">
        <v>45749</v>
      </c>
      <c r="B3" s="2">
        <v>12</v>
      </c>
      <c r="C3" s="2" t="str">
        <f>VLOOKUP(B3,テーブル!$A$3:$D$7,2,0)</f>
        <v>商品Ｅ</v>
      </c>
      <c r="D3" s="17">
        <v>237</v>
      </c>
      <c r="E3" s="22">
        <f>ROUNDUP(VLOOKUP(B3,テーブル!$A$3:$D$7,3,0)*テーブル!$G$2,0)</f>
        <v>3153</v>
      </c>
      <c r="F3" s="17">
        <f t="shared" si="0"/>
        <v>43350</v>
      </c>
      <c r="G3" s="20">
        <f t="shared" si="1"/>
        <v>790611</v>
      </c>
      <c r="I3" s="28" t="s">
        <v>35</v>
      </c>
      <c r="J3" s="23"/>
      <c r="L3" s="36">
        <v>45751</v>
      </c>
      <c r="M3" s="2">
        <v>11</v>
      </c>
      <c r="N3" s="2" t="s">
        <v>60</v>
      </c>
      <c r="O3" s="17">
        <v>224</v>
      </c>
      <c r="P3" s="22">
        <v>2755</v>
      </c>
      <c r="Q3" s="17">
        <v>35800</v>
      </c>
      <c r="R3" s="20">
        <v>652920</v>
      </c>
    </row>
    <row r="4" spans="1:18" ht="14.25" thickBot="1">
      <c r="A4" s="36">
        <v>45749</v>
      </c>
      <c r="B4" s="2">
        <v>13</v>
      </c>
      <c r="C4" s="2" t="str">
        <f>VLOOKUP(B4,テーブル!$A$3:$D$7,2,0)</f>
        <v>商品Ｆ</v>
      </c>
      <c r="D4" s="17">
        <v>278</v>
      </c>
      <c r="E4" s="22">
        <f>ROUNDUP(VLOOKUP(B4,テーブル!$A$3:$D$7,3,0)*テーブル!$G$2,0)</f>
        <v>2495</v>
      </c>
      <c r="F4" s="17">
        <f t="shared" si="0"/>
        <v>40230</v>
      </c>
      <c r="G4" s="20">
        <f t="shared" si="1"/>
        <v>733840</v>
      </c>
      <c r="I4" s="24"/>
      <c r="J4" s="35" t="s">
        <v>58</v>
      </c>
      <c r="L4" s="36">
        <v>45770</v>
      </c>
      <c r="M4" s="2">
        <v>12</v>
      </c>
      <c r="N4" s="2" t="s">
        <v>62</v>
      </c>
      <c r="O4" s="17">
        <v>219</v>
      </c>
      <c r="P4" s="22">
        <v>3153</v>
      </c>
      <c r="Q4" s="17">
        <v>40050</v>
      </c>
      <c r="R4" s="20">
        <v>730557</v>
      </c>
    </row>
    <row r="5" spans="1:18">
      <c r="A5" s="36">
        <v>45750</v>
      </c>
      <c r="B5" s="2">
        <v>14</v>
      </c>
      <c r="C5" s="2" t="str">
        <f>VLOOKUP(B5,テーブル!$A$3:$D$7,2,0)</f>
        <v>商品Ｇ</v>
      </c>
      <c r="D5" s="17">
        <v>195</v>
      </c>
      <c r="E5" s="22">
        <f>ROUNDUP(VLOOKUP(B5,テーブル!$A$3:$D$7,3,0)*テーブル!$G$2,0)</f>
        <v>3346</v>
      </c>
      <c r="F5" s="17">
        <f t="shared" si="0"/>
        <v>30670</v>
      </c>
      <c r="G5" s="20">
        <f t="shared" si="1"/>
        <v>683140</v>
      </c>
      <c r="L5" s="36">
        <v>45772</v>
      </c>
      <c r="M5" s="2">
        <v>13</v>
      </c>
      <c r="N5" s="2" t="s">
        <v>61</v>
      </c>
      <c r="O5" s="17">
        <v>275</v>
      </c>
      <c r="P5" s="22">
        <v>2495</v>
      </c>
      <c r="Q5" s="17">
        <v>39800</v>
      </c>
      <c r="R5" s="20">
        <v>725925</v>
      </c>
    </row>
    <row r="6" spans="1:18">
      <c r="A6" s="36">
        <v>45750</v>
      </c>
      <c r="B6" s="2">
        <v>15</v>
      </c>
      <c r="C6" s="2" t="str">
        <f>VLOOKUP(B6,テーブル!$A$3:$D$7,2,0)</f>
        <v>商品Ｈ</v>
      </c>
      <c r="D6" s="17">
        <v>271</v>
      </c>
      <c r="E6" s="22">
        <f>ROUNDUP(VLOOKUP(B6,テーブル!$A$3:$D$7,3,0)*テーブル!$G$2,0)</f>
        <v>2719</v>
      </c>
      <c r="F6" s="17">
        <f t="shared" si="0"/>
        <v>42740</v>
      </c>
      <c r="G6" s="20">
        <f t="shared" si="1"/>
        <v>779589</v>
      </c>
      <c r="L6" s="36">
        <v>45757</v>
      </c>
      <c r="M6" s="2">
        <v>13</v>
      </c>
      <c r="N6" s="2" t="s">
        <v>61</v>
      </c>
      <c r="O6" s="17">
        <v>260</v>
      </c>
      <c r="P6" s="22">
        <v>2495</v>
      </c>
      <c r="Q6" s="17">
        <v>37630</v>
      </c>
      <c r="R6" s="20">
        <v>686330</v>
      </c>
    </row>
    <row r="7" spans="1:18">
      <c r="A7" s="36">
        <v>45751</v>
      </c>
      <c r="B7" s="2">
        <v>11</v>
      </c>
      <c r="C7" s="2" t="str">
        <f>VLOOKUP(B7,テーブル!$A$3:$D$7,2,0)</f>
        <v>商品Ｄ</v>
      </c>
      <c r="D7" s="17">
        <v>224</v>
      </c>
      <c r="E7" s="22">
        <f>ROUNDUP(VLOOKUP(B7,テーブル!$A$3:$D$7,3,0)*テーブル!$G$2,0)</f>
        <v>2755</v>
      </c>
      <c r="F7" s="17">
        <f t="shared" si="0"/>
        <v>35800</v>
      </c>
      <c r="G7" s="20">
        <f t="shared" si="1"/>
        <v>652920</v>
      </c>
      <c r="L7" s="36">
        <v>45760</v>
      </c>
      <c r="M7" s="2">
        <v>13</v>
      </c>
      <c r="N7" s="2" t="s">
        <v>61</v>
      </c>
      <c r="O7" s="17">
        <v>249</v>
      </c>
      <c r="P7" s="22">
        <v>2495</v>
      </c>
      <c r="Q7" s="17">
        <v>36040</v>
      </c>
      <c r="R7" s="20">
        <v>657295</v>
      </c>
    </row>
    <row r="8" spans="1:18">
      <c r="A8" s="36">
        <v>45751</v>
      </c>
      <c r="B8" s="2">
        <v>12</v>
      </c>
      <c r="C8" s="2" t="str">
        <f>VLOOKUP(B8,テーブル!$A$3:$D$7,2,0)</f>
        <v>商品Ｅ</v>
      </c>
      <c r="D8" s="17">
        <v>332</v>
      </c>
      <c r="E8" s="22">
        <f>ROUNDUP(VLOOKUP(B8,テーブル!$A$3:$D$7,3,0)*テーブル!$G$2,0)</f>
        <v>3153</v>
      </c>
      <c r="F8" s="17">
        <f t="shared" si="0"/>
        <v>49200</v>
      </c>
      <c r="G8" s="20">
        <f t="shared" si="1"/>
        <v>1095996</v>
      </c>
      <c r="L8" s="36">
        <v>45752</v>
      </c>
      <c r="M8" s="2">
        <v>13</v>
      </c>
      <c r="N8" s="2" t="s">
        <v>61</v>
      </c>
      <c r="O8" s="17">
        <v>225</v>
      </c>
      <c r="P8" s="22">
        <v>2495</v>
      </c>
      <c r="Q8" s="17">
        <v>32560</v>
      </c>
      <c r="R8" s="20">
        <v>593935</v>
      </c>
    </row>
    <row r="9" spans="1:18">
      <c r="A9" s="36">
        <v>45752</v>
      </c>
      <c r="B9" s="2">
        <v>13</v>
      </c>
      <c r="C9" s="2" t="str">
        <f>VLOOKUP(B9,テーブル!$A$3:$D$7,2,0)</f>
        <v>商品Ｆ</v>
      </c>
      <c r="D9" s="17">
        <v>225</v>
      </c>
      <c r="E9" s="22">
        <f>ROUNDUP(VLOOKUP(B9,テーブル!$A$3:$D$7,3,0)*テーブル!$G$2,0)</f>
        <v>2495</v>
      </c>
      <c r="F9" s="17">
        <f t="shared" si="0"/>
        <v>32560</v>
      </c>
      <c r="G9" s="20">
        <f t="shared" si="1"/>
        <v>593935</v>
      </c>
      <c r="L9" s="36">
        <v>45766</v>
      </c>
      <c r="M9" s="2">
        <v>13</v>
      </c>
      <c r="N9" s="2" t="s">
        <v>61</v>
      </c>
      <c r="O9" s="17">
        <v>221</v>
      </c>
      <c r="P9" s="22">
        <v>2495</v>
      </c>
      <c r="Q9" s="17">
        <v>31990</v>
      </c>
      <c r="R9" s="20">
        <v>583385</v>
      </c>
    </row>
    <row r="10" spans="1:18">
      <c r="A10" s="36">
        <v>45752</v>
      </c>
      <c r="B10" s="2">
        <v>14</v>
      </c>
      <c r="C10" s="2" t="str">
        <f>VLOOKUP(B10,テーブル!$A$3:$D$7,2,0)</f>
        <v>商品Ｇ</v>
      </c>
      <c r="D10" s="17">
        <v>239</v>
      </c>
      <c r="E10" s="22">
        <f>ROUNDUP(VLOOKUP(B10,テーブル!$A$3:$D$7,3,0)*テーブル!$G$2,0)</f>
        <v>3346</v>
      </c>
      <c r="F10" s="17">
        <f t="shared" si="0"/>
        <v>37590</v>
      </c>
      <c r="G10" s="20">
        <f t="shared" si="1"/>
        <v>837284</v>
      </c>
      <c r="L10" s="36">
        <v>45775</v>
      </c>
      <c r="M10" s="2">
        <v>14</v>
      </c>
      <c r="N10" s="2" t="s">
        <v>59</v>
      </c>
      <c r="O10" s="17">
        <v>216</v>
      </c>
      <c r="P10" s="22">
        <v>3346</v>
      </c>
      <c r="Q10" s="17">
        <v>33970</v>
      </c>
      <c r="R10" s="20">
        <v>756706</v>
      </c>
    </row>
    <row r="11" spans="1:18">
      <c r="A11" s="36">
        <v>45753</v>
      </c>
      <c r="B11" s="2">
        <v>15</v>
      </c>
      <c r="C11" s="2" t="str">
        <f>VLOOKUP(B11,テーブル!$A$3:$D$7,2,0)</f>
        <v>商品Ｈ</v>
      </c>
      <c r="D11" s="17">
        <v>261</v>
      </c>
      <c r="E11" s="22">
        <f>ROUNDUP(VLOOKUP(B11,テーブル!$A$3:$D$7,3,0)*テーブル!$G$2,0)</f>
        <v>2719</v>
      </c>
      <c r="F11" s="17">
        <f t="shared" si="0"/>
        <v>41170</v>
      </c>
      <c r="G11" s="20">
        <f t="shared" si="1"/>
        <v>750829</v>
      </c>
      <c r="L11" s="36">
        <v>45750</v>
      </c>
      <c r="M11" s="2">
        <v>14</v>
      </c>
      <c r="N11" s="2" t="s">
        <v>59</v>
      </c>
      <c r="O11" s="17">
        <v>195</v>
      </c>
      <c r="P11" s="22">
        <v>3346</v>
      </c>
      <c r="Q11" s="17">
        <v>30670</v>
      </c>
      <c r="R11" s="20">
        <v>683140</v>
      </c>
    </row>
    <row r="12" spans="1:18">
      <c r="A12" s="36">
        <v>45753</v>
      </c>
      <c r="B12" s="2">
        <v>11</v>
      </c>
      <c r="C12" s="2" t="str">
        <f>VLOOKUP(B12,テーブル!$A$3:$D$7,2,0)</f>
        <v>商品Ｄ</v>
      </c>
      <c r="D12" s="17">
        <v>293</v>
      </c>
      <c r="E12" s="22">
        <f>ROUNDUP(VLOOKUP(B12,テーブル!$A$3:$D$7,3,0)*テーブル!$G$2,0)</f>
        <v>2755</v>
      </c>
      <c r="F12" s="17">
        <f t="shared" si="0"/>
        <v>37940</v>
      </c>
      <c r="G12" s="20">
        <f t="shared" si="1"/>
        <v>845155</v>
      </c>
      <c r="L12" s="7"/>
      <c r="M12" s="2"/>
      <c r="N12" s="2"/>
      <c r="O12" s="34"/>
      <c r="P12" s="34"/>
      <c r="Q12" s="2"/>
      <c r="R12" s="9"/>
    </row>
    <row r="13" spans="1:18" ht="14.25" thickBot="1">
      <c r="A13" s="36">
        <v>45756</v>
      </c>
      <c r="B13" s="2">
        <v>12</v>
      </c>
      <c r="C13" s="2" t="str">
        <f>VLOOKUP(B13,テーブル!$A$3:$D$7,2,0)</f>
        <v>商品Ｅ</v>
      </c>
      <c r="D13" s="17">
        <v>227</v>
      </c>
      <c r="E13" s="22">
        <f>ROUNDUP(VLOOKUP(B13,テーブル!$A$3:$D$7,3,0)*テーブル!$G$2,0)</f>
        <v>3153</v>
      </c>
      <c r="F13" s="17">
        <f t="shared" si="0"/>
        <v>41520</v>
      </c>
      <c r="G13" s="20">
        <f t="shared" si="1"/>
        <v>757251</v>
      </c>
      <c r="L13" s="10"/>
      <c r="M13" s="18"/>
      <c r="N13" s="11" t="s">
        <v>21</v>
      </c>
      <c r="O13" s="12">
        <f>SUM(O3:O11)</f>
        <v>2084</v>
      </c>
      <c r="P13" s="18"/>
      <c r="Q13" s="12">
        <f t="shared" ref="Q13:R13" si="2">SUM(Q3:Q11)</f>
        <v>318510</v>
      </c>
      <c r="R13" s="12">
        <f t="shared" si="2"/>
        <v>6070193</v>
      </c>
    </row>
    <row r="14" spans="1:18">
      <c r="A14" s="36">
        <v>45757</v>
      </c>
      <c r="B14" s="2">
        <v>13</v>
      </c>
      <c r="C14" s="2" t="str">
        <f>VLOOKUP(B14,テーブル!$A$3:$D$7,2,0)</f>
        <v>商品Ｆ</v>
      </c>
      <c r="D14" s="17">
        <v>260</v>
      </c>
      <c r="E14" s="22">
        <f>ROUNDUP(VLOOKUP(B14,テーブル!$A$3:$D$7,3,0)*テーブル!$G$2,0)</f>
        <v>2495</v>
      </c>
      <c r="F14" s="17">
        <f t="shared" si="0"/>
        <v>37630</v>
      </c>
      <c r="G14" s="20">
        <f t="shared" si="1"/>
        <v>686330</v>
      </c>
    </row>
    <row r="15" spans="1:18">
      <c r="A15" s="36">
        <v>45757</v>
      </c>
      <c r="B15" s="2">
        <v>14</v>
      </c>
      <c r="C15" s="2" t="str">
        <f>VLOOKUP(B15,テーブル!$A$3:$D$7,2,0)</f>
        <v>商品Ｇ</v>
      </c>
      <c r="D15" s="17">
        <v>257</v>
      </c>
      <c r="E15" s="22">
        <f>ROUNDUP(VLOOKUP(B15,テーブル!$A$3:$D$7,3,0)*テーブル!$G$2,0)</f>
        <v>3346</v>
      </c>
      <c r="F15" s="17">
        <f t="shared" si="0"/>
        <v>40420</v>
      </c>
      <c r="G15" s="20">
        <f t="shared" si="1"/>
        <v>900342</v>
      </c>
    </row>
    <row r="16" spans="1:18">
      <c r="A16" s="36">
        <v>45758</v>
      </c>
      <c r="B16" s="2">
        <v>15</v>
      </c>
      <c r="C16" s="2" t="str">
        <f>VLOOKUP(B16,テーブル!$A$3:$D$7,2,0)</f>
        <v>商品Ｈ</v>
      </c>
      <c r="D16" s="17">
        <v>282</v>
      </c>
      <c r="E16" s="22">
        <f>ROUNDUP(VLOOKUP(B16,テーブル!$A$3:$D$7,3,0)*テーブル!$G$2,0)</f>
        <v>2719</v>
      </c>
      <c r="F16" s="17">
        <f t="shared" si="0"/>
        <v>44480</v>
      </c>
      <c r="G16" s="20">
        <f t="shared" si="1"/>
        <v>811238</v>
      </c>
    </row>
    <row r="17" spans="1:7">
      <c r="A17" s="36">
        <v>45759</v>
      </c>
      <c r="B17" s="2">
        <v>11</v>
      </c>
      <c r="C17" s="2" t="str">
        <f>VLOOKUP(B17,テーブル!$A$3:$D$7,2,0)</f>
        <v>商品Ｄ</v>
      </c>
      <c r="D17" s="17">
        <v>294</v>
      </c>
      <c r="E17" s="22">
        <f>ROUNDUP(VLOOKUP(B17,テーブル!$A$3:$D$7,3,0)*テーブル!$G$2,0)</f>
        <v>2755</v>
      </c>
      <c r="F17" s="17">
        <f t="shared" si="0"/>
        <v>38070</v>
      </c>
      <c r="G17" s="20">
        <f t="shared" si="1"/>
        <v>848040</v>
      </c>
    </row>
    <row r="18" spans="1:7">
      <c r="A18" s="36">
        <v>45760</v>
      </c>
      <c r="B18" s="2">
        <v>12</v>
      </c>
      <c r="C18" s="2" t="str">
        <f>VLOOKUP(B18,テーブル!$A$3:$D$7,2,0)</f>
        <v>商品Ｅ</v>
      </c>
      <c r="D18" s="17">
        <v>241</v>
      </c>
      <c r="E18" s="22">
        <f>ROUNDUP(VLOOKUP(B18,テーブル!$A$3:$D$7,3,0)*テーブル!$G$2,0)</f>
        <v>3153</v>
      </c>
      <c r="F18" s="17">
        <f t="shared" si="0"/>
        <v>44080</v>
      </c>
      <c r="G18" s="20">
        <f t="shared" si="1"/>
        <v>803953</v>
      </c>
    </row>
    <row r="19" spans="1:7">
      <c r="A19" s="36">
        <v>45760</v>
      </c>
      <c r="B19" s="2">
        <v>13</v>
      </c>
      <c r="C19" s="2" t="str">
        <f>VLOOKUP(B19,テーブル!$A$3:$D$7,2,0)</f>
        <v>商品Ｆ</v>
      </c>
      <c r="D19" s="17">
        <v>249</v>
      </c>
      <c r="E19" s="22">
        <f>ROUNDUP(VLOOKUP(B19,テーブル!$A$3:$D$7,3,0)*テーブル!$G$2,0)</f>
        <v>2495</v>
      </c>
      <c r="F19" s="17">
        <f t="shared" si="0"/>
        <v>36040</v>
      </c>
      <c r="G19" s="20">
        <f t="shared" si="1"/>
        <v>657295</v>
      </c>
    </row>
    <row r="20" spans="1:7">
      <c r="A20" s="36">
        <v>45763</v>
      </c>
      <c r="B20" s="2">
        <v>14</v>
      </c>
      <c r="C20" s="2" t="str">
        <f>VLOOKUP(B20,テーブル!$A$3:$D$7,2,0)</f>
        <v>商品Ｇ</v>
      </c>
      <c r="D20" s="17">
        <v>285</v>
      </c>
      <c r="E20" s="22">
        <f>ROUNDUP(VLOOKUP(B20,テーブル!$A$3:$D$7,3,0)*テーブル!$G$2,0)</f>
        <v>3346</v>
      </c>
      <c r="F20" s="17">
        <f t="shared" si="0"/>
        <v>44820</v>
      </c>
      <c r="G20" s="20">
        <f t="shared" si="1"/>
        <v>998430</v>
      </c>
    </row>
    <row r="21" spans="1:7">
      <c r="A21" s="36">
        <v>45765</v>
      </c>
      <c r="B21" s="2">
        <v>15</v>
      </c>
      <c r="C21" s="2" t="str">
        <f>VLOOKUP(B21,テーブル!$A$3:$D$7,2,0)</f>
        <v>商品Ｈ</v>
      </c>
      <c r="D21" s="17">
        <v>280</v>
      </c>
      <c r="E21" s="22">
        <f>ROUNDUP(VLOOKUP(B21,テーブル!$A$3:$D$7,3,0)*テーブル!$G$2,0)</f>
        <v>2719</v>
      </c>
      <c r="F21" s="17">
        <f t="shared" si="0"/>
        <v>44160</v>
      </c>
      <c r="G21" s="20">
        <f t="shared" si="1"/>
        <v>805480</v>
      </c>
    </row>
    <row r="22" spans="1:7">
      <c r="A22" s="36">
        <v>45764</v>
      </c>
      <c r="B22" s="2">
        <v>11</v>
      </c>
      <c r="C22" s="2" t="str">
        <f>VLOOKUP(B22,テーブル!$A$3:$D$7,2,0)</f>
        <v>商品Ｄ</v>
      </c>
      <c r="D22" s="17">
        <v>356</v>
      </c>
      <c r="E22" s="22">
        <f>ROUNDUP(VLOOKUP(B22,テーブル!$A$3:$D$7,3,0)*テーブル!$G$2,0)</f>
        <v>2755</v>
      </c>
      <c r="F22" s="17">
        <f t="shared" si="0"/>
        <v>46100</v>
      </c>
      <c r="G22" s="20">
        <f t="shared" si="1"/>
        <v>1026880</v>
      </c>
    </row>
    <row r="23" spans="1:7">
      <c r="A23" s="36">
        <v>45765</v>
      </c>
      <c r="B23" s="2">
        <v>12</v>
      </c>
      <c r="C23" s="2" t="str">
        <f>VLOOKUP(B23,テーブル!$A$3:$D$7,2,0)</f>
        <v>商品Ｅ</v>
      </c>
      <c r="D23" s="17">
        <v>220</v>
      </c>
      <c r="E23" s="22">
        <f>ROUNDUP(VLOOKUP(B23,テーブル!$A$3:$D$7,3,0)*テーブル!$G$2,0)</f>
        <v>3153</v>
      </c>
      <c r="F23" s="17">
        <f t="shared" si="0"/>
        <v>40240</v>
      </c>
      <c r="G23" s="20">
        <f t="shared" si="1"/>
        <v>733900</v>
      </c>
    </row>
    <row r="24" spans="1:7">
      <c r="A24" s="36">
        <v>45766</v>
      </c>
      <c r="B24" s="2">
        <v>13</v>
      </c>
      <c r="C24" s="2" t="str">
        <f>VLOOKUP(B24,テーブル!$A$3:$D$7,2,0)</f>
        <v>商品Ｆ</v>
      </c>
      <c r="D24" s="17">
        <v>221</v>
      </c>
      <c r="E24" s="22">
        <f>ROUNDUP(VLOOKUP(B24,テーブル!$A$3:$D$7,3,0)*テーブル!$G$2,0)</f>
        <v>2495</v>
      </c>
      <c r="F24" s="17">
        <f t="shared" si="0"/>
        <v>31990</v>
      </c>
      <c r="G24" s="20">
        <f t="shared" si="1"/>
        <v>583385</v>
      </c>
    </row>
    <row r="25" spans="1:7">
      <c r="A25" s="36">
        <v>45766</v>
      </c>
      <c r="B25" s="2">
        <v>14</v>
      </c>
      <c r="C25" s="2" t="str">
        <f>VLOOKUP(B25,テーブル!$A$3:$D$7,2,0)</f>
        <v>商品Ｇ</v>
      </c>
      <c r="D25" s="17">
        <v>284</v>
      </c>
      <c r="E25" s="22">
        <f>ROUNDUP(VLOOKUP(B25,テーブル!$A$3:$D$7,3,0)*テーブル!$G$2,0)</f>
        <v>3346</v>
      </c>
      <c r="F25" s="17">
        <f t="shared" si="0"/>
        <v>44670</v>
      </c>
      <c r="G25" s="20">
        <f t="shared" si="1"/>
        <v>994934</v>
      </c>
    </row>
    <row r="26" spans="1:7">
      <c r="A26" s="36">
        <v>45767</v>
      </c>
      <c r="B26" s="2">
        <v>15</v>
      </c>
      <c r="C26" s="2" t="str">
        <f>VLOOKUP(B26,テーブル!$A$3:$D$7,2,0)</f>
        <v>商品Ｈ</v>
      </c>
      <c r="D26" s="17">
        <v>323</v>
      </c>
      <c r="E26" s="22">
        <f>ROUNDUP(VLOOKUP(B26,テーブル!$A$3:$D$7,3,0)*テーブル!$G$2,0)</f>
        <v>2719</v>
      </c>
      <c r="F26" s="17">
        <f t="shared" si="0"/>
        <v>41280</v>
      </c>
      <c r="G26" s="20">
        <f t="shared" si="1"/>
        <v>919517</v>
      </c>
    </row>
    <row r="27" spans="1:7">
      <c r="A27" s="36">
        <v>45770</v>
      </c>
      <c r="B27" s="2">
        <v>11</v>
      </c>
      <c r="C27" s="2" t="str">
        <f>VLOOKUP(B27,テーブル!$A$3:$D$7,2,0)</f>
        <v>商品Ｄ</v>
      </c>
      <c r="D27" s="17">
        <v>290</v>
      </c>
      <c r="E27" s="22">
        <f>ROUNDUP(VLOOKUP(B27,テーブル!$A$3:$D$7,3,0)*テーブル!$G$2,0)</f>
        <v>2755</v>
      </c>
      <c r="F27" s="17">
        <f t="shared" si="0"/>
        <v>37560</v>
      </c>
      <c r="G27" s="20">
        <f t="shared" si="1"/>
        <v>836510</v>
      </c>
    </row>
    <row r="28" spans="1:7">
      <c r="A28" s="36">
        <v>45770</v>
      </c>
      <c r="B28" s="2">
        <v>12</v>
      </c>
      <c r="C28" s="2" t="str">
        <f>VLOOKUP(B28,テーブル!$A$3:$D$7,2,0)</f>
        <v>商品Ｅ</v>
      </c>
      <c r="D28" s="17">
        <v>219</v>
      </c>
      <c r="E28" s="22">
        <f>ROUNDUP(VLOOKUP(B28,テーブル!$A$3:$D$7,3,0)*テーブル!$G$2,0)</f>
        <v>3153</v>
      </c>
      <c r="F28" s="17">
        <f t="shared" si="0"/>
        <v>40050</v>
      </c>
      <c r="G28" s="20">
        <f t="shared" si="1"/>
        <v>730557</v>
      </c>
    </row>
    <row r="29" spans="1:7">
      <c r="A29" s="36">
        <v>45772</v>
      </c>
      <c r="B29" s="2">
        <v>13</v>
      </c>
      <c r="C29" s="2" t="str">
        <f>VLOOKUP(B29,テーブル!$A$3:$D$7,2,0)</f>
        <v>商品Ｆ</v>
      </c>
      <c r="D29" s="17">
        <v>275</v>
      </c>
      <c r="E29" s="22">
        <f>ROUNDUP(VLOOKUP(B29,テーブル!$A$3:$D$7,3,0)*テーブル!$G$2,0)</f>
        <v>2495</v>
      </c>
      <c r="F29" s="17">
        <f t="shared" si="0"/>
        <v>39800</v>
      </c>
      <c r="G29" s="20">
        <f t="shared" si="1"/>
        <v>725925</v>
      </c>
    </row>
    <row r="30" spans="1:7">
      <c r="A30" s="36">
        <v>45775</v>
      </c>
      <c r="B30" s="2">
        <v>14</v>
      </c>
      <c r="C30" s="2" t="str">
        <f>VLOOKUP(B30,テーブル!$A$3:$D$7,2,0)</f>
        <v>商品Ｇ</v>
      </c>
      <c r="D30" s="17">
        <v>216</v>
      </c>
      <c r="E30" s="22">
        <f>ROUNDUP(VLOOKUP(B30,テーブル!$A$3:$D$7,3,0)*テーブル!$G$2,0)</f>
        <v>3346</v>
      </c>
      <c r="F30" s="17">
        <f t="shared" si="0"/>
        <v>33970</v>
      </c>
      <c r="G30" s="20">
        <f t="shared" si="1"/>
        <v>756706</v>
      </c>
    </row>
    <row r="31" spans="1:7">
      <c r="A31" s="36">
        <v>45777</v>
      </c>
      <c r="B31" s="2">
        <v>15</v>
      </c>
      <c r="C31" s="2" t="str">
        <f>VLOOKUP(B31,テーブル!$A$3:$D$7,2,0)</f>
        <v>商品Ｈ</v>
      </c>
      <c r="D31" s="17">
        <v>299</v>
      </c>
      <c r="E31" s="22">
        <f>ROUNDUP(VLOOKUP(B31,テーブル!$A$3:$D$7,3,0)*テーブル!$G$2,0)</f>
        <v>2719</v>
      </c>
      <c r="F31" s="17">
        <f t="shared" si="0"/>
        <v>38220</v>
      </c>
      <c r="G31" s="20">
        <f t="shared" si="1"/>
        <v>851201</v>
      </c>
    </row>
    <row r="32" spans="1:7">
      <c r="A32" s="7"/>
      <c r="B32" s="2"/>
      <c r="C32" s="2"/>
      <c r="D32" s="34"/>
      <c r="E32" s="34"/>
      <c r="F32" s="2"/>
      <c r="G32" s="9"/>
    </row>
    <row r="33" spans="1:7" ht="14.25" thickBot="1">
      <c r="A33" s="10"/>
      <c r="B33" s="18"/>
      <c r="C33" s="11" t="s">
        <v>21</v>
      </c>
      <c r="D33" s="12">
        <f>SUM(D2:D31)</f>
        <v>7961</v>
      </c>
      <c r="E33" s="18"/>
      <c r="F33" s="12">
        <f t="shared" ref="F33:G33" si="3">SUM(F2:F31)</f>
        <v>1198830</v>
      </c>
      <c r="G33" s="15">
        <f t="shared" si="3"/>
        <v>24137293</v>
      </c>
    </row>
  </sheetData>
  <sortState xmlns:xlrd2="http://schemas.microsoft.com/office/spreadsheetml/2017/richdata2" ref="L3:R11">
    <sortCondition ref="M3:M11"/>
    <sortCondition descending="1" ref="R3:R11"/>
  </sortState>
  <mergeCells count="1">
    <mergeCell ref="L1:R1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A61E8-A291-48D6-81C6-5A199A7C45FB}">
  <dimension ref="A1:J31"/>
  <sheetViews>
    <sheetView workbookViewId="0"/>
  </sheetViews>
  <sheetFormatPr defaultColWidth="10.625" defaultRowHeight="13.5"/>
  <cols>
    <col min="1" max="1" width="10.5" bestFit="1" customWidth="1"/>
    <col min="2" max="2" width="7.5" bestFit="1" customWidth="1"/>
    <col min="3" max="3" width="9.5" bestFit="1" customWidth="1"/>
    <col min="4" max="6" width="7.5" bestFit="1" customWidth="1"/>
    <col min="7" max="7" width="6.5" bestFit="1" customWidth="1"/>
  </cols>
  <sheetData>
    <row r="1" spans="1:10">
      <c r="A1" s="4" t="s">
        <v>65</v>
      </c>
      <c r="B1" s="5" t="s">
        <v>7</v>
      </c>
      <c r="C1" s="5" t="s">
        <v>18</v>
      </c>
      <c r="D1" s="5" t="s">
        <v>0</v>
      </c>
      <c r="E1" s="5" t="s">
        <v>17</v>
      </c>
      <c r="F1" s="5" t="s">
        <v>9</v>
      </c>
      <c r="G1" s="6" t="s">
        <v>10</v>
      </c>
    </row>
    <row r="2" spans="1:10">
      <c r="A2" s="36">
        <v>45752</v>
      </c>
      <c r="B2" s="2" t="s">
        <v>49</v>
      </c>
      <c r="C2" s="2" t="str">
        <f>VLOOKUP(B2,テーブル!$I$3:$K$7,2,0)</f>
        <v>マルイチ</v>
      </c>
      <c r="D2" s="2">
        <v>11</v>
      </c>
      <c r="E2" s="2" t="str">
        <f>VLOOKUP(D2,テーブル!$A$3:$D$7,2,0)</f>
        <v>商品Ｄ</v>
      </c>
      <c r="F2" s="29">
        <v>376</v>
      </c>
      <c r="G2" s="8">
        <f>ROUNDUP(VLOOKUP(D2,テーブル!$A$3:$D$7,4,0)*(1-VLOOKUP(RIGHT(B2,1),テーブル!$M$3:$N$5,2,0)),0)</f>
        <v>3288</v>
      </c>
    </row>
    <row r="3" spans="1:10">
      <c r="A3" s="36">
        <v>45753</v>
      </c>
      <c r="B3" s="2" t="s">
        <v>49</v>
      </c>
      <c r="C3" s="2" t="str">
        <f>VLOOKUP(B3,テーブル!$I$3:$K$7,2,0)</f>
        <v>マルイチ</v>
      </c>
      <c r="D3" s="2">
        <v>12</v>
      </c>
      <c r="E3" s="2" t="str">
        <f>VLOOKUP(D3,テーブル!$A$3:$D$7,2,0)</f>
        <v>商品Ｅ</v>
      </c>
      <c r="F3" s="29">
        <v>125</v>
      </c>
      <c r="G3" s="8">
        <f>ROUNDUP(VLOOKUP(D3,テーブル!$A$3:$D$7,4,0)*(1-VLOOKUP(RIGHT(B3,1),テーブル!$M$3:$N$5,2,0)),0)</f>
        <v>3750</v>
      </c>
    </row>
    <row r="4" spans="1:10">
      <c r="A4" s="36">
        <v>45754</v>
      </c>
      <c r="B4" s="2" t="s">
        <v>49</v>
      </c>
      <c r="C4" s="2" t="str">
        <f>VLOOKUP(B4,テーブル!$I$3:$K$7,2,0)</f>
        <v>マルイチ</v>
      </c>
      <c r="D4" s="2">
        <v>13</v>
      </c>
      <c r="E4" s="2" t="str">
        <f>VLOOKUP(D4,テーブル!$A$3:$D$7,2,0)</f>
        <v>商品Ｆ</v>
      </c>
      <c r="F4" s="29">
        <v>342</v>
      </c>
      <c r="G4" s="8">
        <f>ROUNDUP(VLOOKUP(D4,テーブル!$A$3:$D$7,4,0)*(1-VLOOKUP(RIGHT(B4,1),テーブル!$M$3:$N$5,2,0)),0)</f>
        <v>2977</v>
      </c>
    </row>
    <row r="5" spans="1:10">
      <c r="A5" s="36">
        <v>45756</v>
      </c>
      <c r="B5" s="2" t="s">
        <v>49</v>
      </c>
      <c r="C5" s="2" t="str">
        <f>VLOOKUP(B5,テーブル!$I$3:$K$7,2,0)</f>
        <v>マルイチ</v>
      </c>
      <c r="D5" s="2">
        <v>14</v>
      </c>
      <c r="E5" s="2" t="str">
        <f>VLOOKUP(D5,テーブル!$A$3:$D$7,2,0)</f>
        <v>商品Ｇ</v>
      </c>
      <c r="F5" s="29">
        <v>220</v>
      </c>
      <c r="G5" s="8">
        <f>ROUNDUP(VLOOKUP(D5,テーブル!$A$3:$D$7,4,0)*(1-VLOOKUP(RIGHT(B5,1),テーブル!$M$3:$N$5,2,0)),0)</f>
        <v>3985</v>
      </c>
    </row>
    <row r="6" spans="1:10">
      <c r="A6" s="36">
        <v>45758</v>
      </c>
      <c r="B6" s="2" t="s">
        <v>49</v>
      </c>
      <c r="C6" s="2" t="str">
        <f>VLOOKUP(B6,テーブル!$I$3:$K$7,2,0)</f>
        <v>マルイチ</v>
      </c>
      <c r="D6" s="2">
        <v>15</v>
      </c>
      <c r="E6" s="2" t="str">
        <f>VLOOKUP(D6,テーブル!$A$3:$D$7,2,0)</f>
        <v>商品Ｈ</v>
      </c>
      <c r="F6" s="29">
        <v>306</v>
      </c>
      <c r="G6" s="8">
        <f>ROUNDUP(VLOOKUP(D6,テーブル!$A$3:$D$7,4,0)*(1-VLOOKUP(RIGHT(B6,1),テーブル!$M$3:$N$5,2,0)),0)</f>
        <v>3260</v>
      </c>
    </row>
    <row r="7" spans="1:10">
      <c r="A7" s="36">
        <v>45759</v>
      </c>
      <c r="B7" s="2" t="s">
        <v>51</v>
      </c>
      <c r="C7" s="2" t="str">
        <f>VLOOKUP(B7,テーブル!$I$3:$K$7,2,0)</f>
        <v>井上企画</v>
      </c>
      <c r="D7" s="2">
        <v>11</v>
      </c>
      <c r="E7" s="2" t="str">
        <f>VLOOKUP(D7,テーブル!$A$3:$D$7,2,0)</f>
        <v>商品Ｄ</v>
      </c>
      <c r="F7" s="29">
        <v>276</v>
      </c>
      <c r="G7" s="8">
        <f>ROUNDUP(VLOOKUP(D7,テーブル!$A$3:$D$7,4,0)*(1-VLOOKUP(RIGHT(B7,1),テーブル!$M$3:$N$5,2,0)),0)</f>
        <v>3257</v>
      </c>
      <c r="J7" s="39"/>
    </row>
    <row r="8" spans="1:10">
      <c r="A8" s="36">
        <v>45760</v>
      </c>
      <c r="B8" s="2" t="s">
        <v>51</v>
      </c>
      <c r="C8" s="2" t="str">
        <f>VLOOKUP(B8,テーブル!$I$3:$K$7,2,0)</f>
        <v>井上企画</v>
      </c>
      <c r="D8" s="2">
        <v>12</v>
      </c>
      <c r="E8" s="2" t="str">
        <f>VLOOKUP(D8,テーブル!$A$3:$D$7,2,0)</f>
        <v>商品Ｅ</v>
      </c>
      <c r="F8" s="29">
        <v>452</v>
      </c>
      <c r="G8" s="8">
        <f>ROUNDUP(VLOOKUP(D8,テーブル!$A$3:$D$7,4,0)*(1-VLOOKUP(RIGHT(B8,1),テーブル!$M$3:$N$5,2,0)),0)</f>
        <v>3714</v>
      </c>
      <c r="J8" s="39"/>
    </row>
    <row r="9" spans="1:10">
      <c r="A9" s="36">
        <v>45760</v>
      </c>
      <c r="B9" s="2" t="s">
        <v>51</v>
      </c>
      <c r="C9" s="2" t="str">
        <f>VLOOKUP(B9,テーブル!$I$3:$K$7,2,0)</f>
        <v>井上企画</v>
      </c>
      <c r="D9" s="2">
        <v>13</v>
      </c>
      <c r="E9" s="2" t="str">
        <f>VLOOKUP(D9,テーブル!$A$3:$D$7,2,0)</f>
        <v>商品Ｆ</v>
      </c>
      <c r="F9" s="29">
        <v>192</v>
      </c>
      <c r="G9" s="8">
        <f>ROUNDUP(VLOOKUP(D9,テーブル!$A$3:$D$7,4,0)*(1-VLOOKUP(RIGHT(B9,1),テーブル!$M$3:$N$5,2,0)),0)</f>
        <v>2949</v>
      </c>
      <c r="J9" s="39"/>
    </row>
    <row r="10" spans="1:10">
      <c r="A10" s="36">
        <v>45761</v>
      </c>
      <c r="B10" s="2" t="s">
        <v>51</v>
      </c>
      <c r="C10" s="2" t="str">
        <f>VLOOKUP(B10,テーブル!$I$3:$K$7,2,0)</f>
        <v>井上企画</v>
      </c>
      <c r="D10" s="2">
        <v>14</v>
      </c>
      <c r="E10" s="2" t="str">
        <f>VLOOKUP(D10,テーブル!$A$3:$D$7,2,0)</f>
        <v>商品Ｇ</v>
      </c>
      <c r="F10" s="29">
        <v>383</v>
      </c>
      <c r="G10" s="8">
        <f>ROUNDUP(VLOOKUP(D10,テーブル!$A$3:$D$7,4,0)*(1-VLOOKUP(RIGHT(B10,1),テーブル!$M$3:$N$5,2,0)),0)</f>
        <v>3947</v>
      </c>
      <c r="J10" s="39"/>
    </row>
    <row r="11" spans="1:10">
      <c r="A11" s="36">
        <v>45762</v>
      </c>
      <c r="B11" s="2" t="s">
        <v>51</v>
      </c>
      <c r="C11" s="2" t="str">
        <f>VLOOKUP(B11,テーブル!$I$3:$K$7,2,0)</f>
        <v>井上企画</v>
      </c>
      <c r="D11" s="2">
        <v>15</v>
      </c>
      <c r="E11" s="2" t="str">
        <f>VLOOKUP(D11,テーブル!$A$3:$D$7,2,0)</f>
        <v>商品Ｈ</v>
      </c>
      <c r="F11" s="29">
        <v>350</v>
      </c>
      <c r="G11" s="8">
        <f>ROUNDUP(VLOOKUP(D11,テーブル!$A$3:$D$7,4,0)*(1-VLOOKUP(RIGHT(B11,1),テーブル!$M$3:$N$5,2,0)),0)</f>
        <v>3229</v>
      </c>
      <c r="J11" s="39"/>
    </row>
    <row r="12" spans="1:10">
      <c r="A12" s="36">
        <v>45763</v>
      </c>
      <c r="B12" s="2" t="s">
        <v>53</v>
      </c>
      <c r="C12" s="2" t="str">
        <f>VLOOKUP(B12,テーブル!$I$3:$K$7,2,0)</f>
        <v>ＳＫ商事</v>
      </c>
      <c r="D12" s="2">
        <v>11</v>
      </c>
      <c r="E12" s="2" t="str">
        <f>VLOOKUP(D12,テーブル!$A$3:$D$7,2,0)</f>
        <v>商品Ｄ</v>
      </c>
      <c r="F12" s="29">
        <v>297</v>
      </c>
      <c r="G12" s="8">
        <f>ROUNDUP(VLOOKUP(D12,テーブル!$A$3:$D$7,4,0)*(1-VLOOKUP(RIGHT(B12,1),テーブル!$M$3:$N$5,2,0)),0)</f>
        <v>3225</v>
      </c>
      <c r="J12" s="40"/>
    </row>
    <row r="13" spans="1:10">
      <c r="A13" s="36">
        <v>45764</v>
      </c>
      <c r="B13" s="2" t="s">
        <v>53</v>
      </c>
      <c r="C13" s="2" t="str">
        <f>VLOOKUP(B13,テーブル!$I$3:$K$7,2,0)</f>
        <v>ＳＫ商事</v>
      </c>
      <c r="D13" s="2">
        <v>12</v>
      </c>
      <c r="E13" s="2" t="str">
        <f>VLOOKUP(D13,テーブル!$A$3:$D$7,2,0)</f>
        <v>商品Ｅ</v>
      </c>
      <c r="F13" s="29">
        <v>331</v>
      </c>
      <c r="G13" s="8">
        <f>ROUNDUP(VLOOKUP(D13,テーブル!$A$3:$D$7,4,0)*(1-VLOOKUP(RIGHT(B13,1),テーブル!$M$3:$N$5,2,0)),0)</f>
        <v>3678</v>
      </c>
    </row>
    <row r="14" spans="1:10">
      <c r="A14" s="36">
        <v>45766</v>
      </c>
      <c r="B14" s="2" t="s">
        <v>53</v>
      </c>
      <c r="C14" s="2" t="str">
        <f>VLOOKUP(B14,テーブル!$I$3:$K$7,2,0)</f>
        <v>ＳＫ商事</v>
      </c>
      <c r="D14" s="2">
        <v>13</v>
      </c>
      <c r="E14" s="2" t="str">
        <f>VLOOKUP(D14,テーブル!$A$3:$D$7,2,0)</f>
        <v>商品Ｆ</v>
      </c>
      <c r="F14" s="29">
        <v>278</v>
      </c>
      <c r="G14" s="8">
        <f>ROUNDUP(VLOOKUP(D14,テーブル!$A$3:$D$7,4,0)*(1-VLOOKUP(RIGHT(B14,1),テーブル!$M$3:$N$5,2,0)),0)</f>
        <v>2920</v>
      </c>
    </row>
    <row r="15" spans="1:10">
      <c r="A15" s="36">
        <v>45766</v>
      </c>
      <c r="B15" s="2" t="s">
        <v>53</v>
      </c>
      <c r="C15" s="2" t="str">
        <f>VLOOKUP(B15,テーブル!$I$3:$K$7,2,0)</f>
        <v>ＳＫ商事</v>
      </c>
      <c r="D15" s="2">
        <v>14</v>
      </c>
      <c r="E15" s="2" t="str">
        <f>VLOOKUP(D15,テーブル!$A$3:$D$7,2,0)</f>
        <v>商品Ｇ</v>
      </c>
      <c r="F15" s="29">
        <v>253</v>
      </c>
      <c r="G15" s="8">
        <f>ROUNDUP(VLOOKUP(D15,テーブル!$A$3:$D$7,4,0)*(1-VLOOKUP(RIGHT(B15,1),テーブル!$M$3:$N$5,2,0)),0)</f>
        <v>3909</v>
      </c>
    </row>
    <row r="16" spans="1:10">
      <c r="A16" s="36">
        <v>45767</v>
      </c>
      <c r="B16" s="2" t="s">
        <v>53</v>
      </c>
      <c r="C16" s="2" t="str">
        <f>VLOOKUP(B16,テーブル!$I$3:$K$7,2,0)</f>
        <v>ＳＫ商事</v>
      </c>
      <c r="D16" s="2">
        <v>15</v>
      </c>
      <c r="E16" s="2" t="str">
        <f>VLOOKUP(D16,テーブル!$A$3:$D$7,2,0)</f>
        <v>商品Ｈ</v>
      </c>
      <c r="F16" s="29">
        <v>359</v>
      </c>
      <c r="G16" s="8">
        <f>ROUNDUP(VLOOKUP(D16,テーブル!$A$3:$D$7,4,0)*(1-VLOOKUP(RIGHT(B16,1),テーブル!$M$3:$N$5,2,0)),0)</f>
        <v>3198</v>
      </c>
    </row>
    <row r="17" spans="1:7">
      <c r="A17" s="36">
        <v>45768</v>
      </c>
      <c r="B17" s="2" t="s">
        <v>55</v>
      </c>
      <c r="C17" s="2" t="str">
        <f>VLOOKUP(B17,テーブル!$I$3:$K$7,2,0)</f>
        <v>杉山物産</v>
      </c>
      <c r="D17" s="2">
        <v>11</v>
      </c>
      <c r="E17" s="2" t="str">
        <f>VLOOKUP(D17,テーブル!$A$3:$D$7,2,0)</f>
        <v>商品Ｄ</v>
      </c>
      <c r="F17" s="29">
        <v>430</v>
      </c>
      <c r="G17" s="8">
        <f>ROUNDUP(VLOOKUP(D17,テーブル!$A$3:$D$7,4,0)*(1-VLOOKUP(RIGHT(B17,1),テーブル!$M$3:$N$5,2,0)),0)</f>
        <v>3257</v>
      </c>
    </row>
    <row r="18" spans="1:7">
      <c r="A18" s="36">
        <v>45768</v>
      </c>
      <c r="B18" s="2" t="s">
        <v>55</v>
      </c>
      <c r="C18" s="2" t="str">
        <f>VLOOKUP(B18,テーブル!$I$3:$K$7,2,0)</f>
        <v>杉山物産</v>
      </c>
      <c r="D18" s="2">
        <v>12</v>
      </c>
      <c r="E18" s="2" t="str">
        <f>VLOOKUP(D18,テーブル!$A$3:$D$7,2,0)</f>
        <v>商品Ｅ</v>
      </c>
      <c r="F18" s="29">
        <v>295</v>
      </c>
      <c r="G18" s="8">
        <f>ROUNDUP(VLOOKUP(D18,テーブル!$A$3:$D$7,4,0)*(1-VLOOKUP(RIGHT(B18,1),テーブル!$M$3:$N$5,2,0)),0)</f>
        <v>3714</v>
      </c>
    </row>
    <row r="19" spans="1:7">
      <c r="A19" s="36">
        <v>45771</v>
      </c>
      <c r="B19" s="2" t="s">
        <v>55</v>
      </c>
      <c r="C19" s="2" t="str">
        <f>VLOOKUP(B19,テーブル!$I$3:$K$7,2,0)</f>
        <v>杉山物産</v>
      </c>
      <c r="D19" s="2">
        <v>13</v>
      </c>
      <c r="E19" s="2" t="str">
        <f>VLOOKUP(D19,テーブル!$A$3:$D$7,2,0)</f>
        <v>商品Ｆ</v>
      </c>
      <c r="F19" s="29">
        <v>281</v>
      </c>
      <c r="G19" s="8">
        <f>ROUNDUP(VLOOKUP(D19,テーブル!$A$3:$D$7,4,0)*(1-VLOOKUP(RIGHT(B19,1),テーブル!$M$3:$N$5,2,0)),0)</f>
        <v>2949</v>
      </c>
    </row>
    <row r="20" spans="1:7">
      <c r="A20" s="36">
        <v>45771</v>
      </c>
      <c r="B20" s="2" t="s">
        <v>55</v>
      </c>
      <c r="C20" s="2" t="str">
        <f>VLOOKUP(B20,テーブル!$I$3:$K$7,2,0)</f>
        <v>杉山物産</v>
      </c>
      <c r="D20" s="2">
        <v>14</v>
      </c>
      <c r="E20" s="2" t="str">
        <f>VLOOKUP(D20,テーブル!$A$3:$D$7,2,0)</f>
        <v>商品Ｇ</v>
      </c>
      <c r="F20" s="29">
        <v>305</v>
      </c>
      <c r="G20" s="8">
        <f>ROUNDUP(VLOOKUP(D20,テーブル!$A$3:$D$7,4,0)*(1-VLOOKUP(RIGHT(B20,1),テーブル!$M$3:$N$5,2,0)),0)</f>
        <v>3947</v>
      </c>
    </row>
    <row r="21" spans="1:7">
      <c r="A21" s="36">
        <v>45772</v>
      </c>
      <c r="B21" s="2" t="s">
        <v>55</v>
      </c>
      <c r="C21" s="2" t="str">
        <f>VLOOKUP(B21,テーブル!$I$3:$K$7,2,0)</f>
        <v>杉山物産</v>
      </c>
      <c r="D21" s="2">
        <v>15</v>
      </c>
      <c r="E21" s="2" t="str">
        <f>VLOOKUP(D21,テーブル!$A$3:$D$7,2,0)</f>
        <v>商品Ｈ</v>
      </c>
      <c r="F21" s="29">
        <v>303</v>
      </c>
      <c r="G21" s="8">
        <f>ROUNDUP(VLOOKUP(D21,テーブル!$A$3:$D$7,4,0)*(1-VLOOKUP(RIGHT(B21,1),テーブル!$M$3:$N$5,2,0)),0)</f>
        <v>3229</v>
      </c>
    </row>
    <row r="22" spans="1:7">
      <c r="A22" s="36">
        <v>45774</v>
      </c>
      <c r="B22" s="2" t="s">
        <v>57</v>
      </c>
      <c r="C22" s="2" t="str">
        <f>VLOOKUP(B22,テーブル!$I$3:$K$7,2,0)</f>
        <v>三愛総業</v>
      </c>
      <c r="D22" s="2">
        <v>11</v>
      </c>
      <c r="E22" s="2" t="str">
        <f>VLOOKUP(D22,テーブル!$A$3:$D$7,2,0)</f>
        <v>商品Ｄ</v>
      </c>
      <c r="F22" s="29">
        <v>351</v>
      </c>
      <c r="G22" s="8">
        <f>ROUNDUP(VLOOKUP(D22,テーブル!$A$3:$D$7,4,0)*(1-VLOOKUP(RIGHT(B22,1),テーブル!$M$3:$N$5,2,0)),0)</f>
        <v>3225</v>
      </c>
    </row>
    <row r="23" spans="1:7">
      <c r="A23" s="36">
        <v>45775</v>
      </c>
      <c r="B23" s="2" t="s">
        <v>57</v>
      </c>
      <c r="C23" s="2" t="str">
        <f>VLOOKUP(B23,テーブル!$I$3:$K$7,2,0)</f>
        <v>三愛総業</v>
      </c>
      <c r="D23" s="2">
        <v>12</v>
      </c>
      <c r="E23" s="2" t="str">
        <f>VLOOKUP(D23,テーブル!$A$3:$D$7,2,0)</f>
        <v>商品Ｅ</v>
      </c>
      <c r="F23" s="29">
        <v>234</v>
      </c>
      <c r="G23" s="8">
        <f>ROUNDUP(VLOOKUP(D23,テーブル!$A$3:$D$7,4,0)*(1-VLOOKUP(RIGHT(B23,1),テーブル!$M$3:$N$5,2,0)),0)</f>
        <v>3678</v>
      </c>
    </row>
    <row r="24" spans="1:7">
      <c r="A24" s="36">
        <v>45776</v>
      </c>
      <c r="B24" s="2" t="s">
        <v>57</v>
      </c>
      <c r="C24" s="2" t="str">
        <f>VLOOKUP(B24,テーブル!$I$3:$K$7,2,0)</f>
        <v>三愛総業</v>
      </c>
      <c r="D24" s="2">
        <v>13</v>
      </c>
      <c r="E24" s="2" t="str">
        <f>VLOOKUP(D24,テーブル!$A$3:$D$7,2,0)</f>
        <v>商品Ｆ</v>
      </c>
      <c r="F24" s="29">
        <v>333</v>
      </c>
      <c r="G24" s="8">
        <f>ROUNDUP(VLOOKUP(D24,テーブル!$A$3:$D$7,4,0)*(1-VLOOKUP(RIGHT(B24,1),テーブル!$M$3:$N$5,2,0)),0)</f>
        <v>2920</v>
      </c>
    </row>
    <row r="25" spans="1:7">
      <c r="A25" s="36">
        <v>45776</v>
      </c>
      <c r="B25" s="2" t="s">
        <v>57</v>
      </c>
      <c r="C25" s="2" t="str">
        <f>VLOOKUP(B25,テーブル!$I$3:$K$7,2,0)</f>
        <v>三愛総業</v>
      </c>
      <c r="D25" s="2">
        <v>14</v>
      </c>
      <c r="E25" s="2" t="str">
        <f>VLOOKUP(D25,テーブル!$A$3:$D$7,2,0)</f>
        <v>商品Ｇ</v>
      </c>
      <c r="F25" s="29">
        <v>230</v>
      </c>
      <c r="G25" s="8">
        <f>ROUNDUP(VLOOKUP(D25,テーブル!$A$3:$D$7,4,0)*(1-VLOOKUP(RIGHT(B25,1),テーブル!$M$3:$N$5,2,0)),0)</f>
        <v>3909</v>
      </c>
    </row>
    <row r="26" spans="1:7">
      <c r="A26" s="36">
        <v>45777</v>
      </c>
      <c r="B26" s="2" t="s">
        <v>57</v>
      </c>
      <c r="C26" s="2" t="str">
        <f>VLOOKUP(B26,テーブル!$I$3:$K$7,2,0)</f>
        <v>三愛総業</v>
      </c>
      <c r="D26" s="2">
        <v>15</v>
      </c>
      <c r="E26" s="2" t="str">
        <f>VLOOKUP(D26,テーブル!$A$3:$D$7,2,0)</f>
        <v>商品Ｈ</v>
      </c>
      <c r="F26" s="29">
        <v>347</v>
      </c>
      <c r="G26" s="8">
        <f>ROUNDUP(VLOOKUP(D26,テーブル!$A$3:$D$7,4,0)*(1-VLOOKUP(RIGHT(B26,1),テーブル!$M$3:$N$5,2,0)),0)</f>
        <v>3198</v>
      </c>
    </row>
    <row r="27" spans="1:7">
      <c r="A27" s="36"/>
      <c r="B27" s="2"/>
      <c r="C27" s="2"/>
      <c r="D27" s="2"/>
      <c r="E27" s="2"/>
      <c r="F27" s="2"/>
      <c r="G27" s="9"/>
    </row>
    <row r="28" spans="1:7" ht="14.25" thickBot="1">
      <c r="A28" s="37"/>
      <c r="B28" s="11"/>
      <c r="C28" s="11" t="s">
        <v>21</v>
      </c>
      <c r="D28" s="18"/>
      <c r="E28" s="18"/>
      <c r="F28" s="12">
        <f>SUM(F2:F26)</f>
        <v>7649</v>
      </c>
      <c r="G28" s="19"/>
    </row>
    <row r="29" spans="1:7">
      <c r="A29" s="38"/>
    </row>
    <row r="30" spans="1:7">
      <c r="A30" s="38"/>
    </row>
    <row r="31" spans="1:7">
      <c r="A31" s="38"/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7D8AD-2364-4632-BC3A-46EBF76BDEB2}">
  <dimension ref="A1:N12"/>
  <sheetViews>
    <sheetView workbookViewId="0">
      <selection sqref="A1:G1"/>
    </sheetView>
  </sheetViews>
  <sheetFormatPr defaultRowHeight="13.5"/>
  <cols>
    <col min="1" max="3" width="7.5" bestFit="1" customWidth="1"/>
    <col min="4" max="4" width="11.625" bestFit="1" customWidth="1"/>
    <col min="5" max="5" width="7.5" bestFit="1" customWidth="1"/>
    <col min="6" max="7" width="11.625" customWidth="1"/>
    <col min="8" max="8" width="6.375" customWidth="1"/>
    <col min="9" max="9" width="7.5" customWidth="1"/>
    <col min="10" max="10" width="9.5" bestFit="1" customWidth="1"/>
    <col min="11" max="11" width="11.625" bestFit="1" customWidth="1"/>
    <col min="12" max="12" width="8.5" bestFit="1" customWidth="1"/>
    <col min="13" max="13" width="11.625" bestFit="1" customWidth="1"/>
    <col min="14" max="14" width="9.5" bestFit="1" customWidth="1"/>
    <col min="16" max="16" width="10.5" bestFit="1" customWidth="1"/>
  </cols>
  <sheetData>
    <row r="1" spans="1:14" ht="14.25" thickBot="1">
      <c r="A1" s="42" t="s">
        <v>22</v>
      </c>
      <c r="B1" s="42"/>
      <c r="C1" s="42"/>
      <c r="D1" s="42"/>
      <c r="E1" s="42"/>
      <c r="F1" s="42"/>
      <c r="G1" s="42"/>
      <c r="I1" s="42" t="s">
        <v>25</v>
      </c>
      <c r="J1" s="42"/>
      <c r="K1" s="42"/>
      <c r="L1" s="42"/>
      <c r="M1" s="42"/>
      <c r="N1" s="42"/>
    </row>
    <row r="2" spans="1:14">
      <c r="A2" s="4" t="s">
        <v>0</v>
      </c>
      <c r="B2" s="5" t="s">
        <v>1</v>
      </c>
      <c r="C2" s="5" t="s">
        <v>2</v>
      </c>
      <c r="D2" s="5" t="s">
        <v>14</v>
      </c>
      <c r="E2" s="5" t="s">
        <v>9</v>
      </c>
      <c r="F2" s="5" t="s">
        <v>34</v>
      </c>
      <c r="G2" s="6" t="s">
        <v>66</v>
      </c>
      <c r="I2" s="4" t="s">
        <v>7</v>
      </c>
      <c r="J2" s="5" t="s">
        <v>8</v>
      </c>
      <c r="K2" s="5" t="s">
        <v>11</v>
      </c>
      <c r="L2" s="5" t="s">
        <v>24</v>
      </c>
      <c r="M2" s="5" t="s">
        <v>23</v>
      </c>
      <c r="N2" s="6" t="s">
        <v>43</v>
      </c>
    </row>
    <row r="3" spans="1:14">
      <c r="A3" s="7">
        <v>14</v>
      </c>
      <c r="B3" s="2" t="str">
        <f>VLOOKUP(A3,テーブル!$A$3:$D$7,2,0)</f>
        <v>商品Ｇ</v>
      </c>
      <c r="C3" s="3">
        <f>DSUM(仕入データ表!$A$1:$G$31,C$2,$D$11:$D$12)</f>
        <v>1476</v>
      </c>
      <c r="D3" s="3">
        <f>DSUM(仕入データ表!$A$1:$G$31,D$2,$D$11:$D$12)</f>
        <v>5170836</v>
      </c>
      <c r="E3" s="3">
        <f>DSUM(売上データ表!$A$1:$G$26,$E$2,$D$11:$D$12)</f>
        <v>1391</v>
      </c>
      <c r="F3" s="3">
        <f>C3-E3</f>
        <v>85</v>
      </c>
      <c r="G3" s="8">
        <f>ROUNDDOWN(D3/C3*F3,-2)</f>
        <v>297700</v>
      </c>
      <c r="I3" s="7" t="s">
        <v>48</v>
      </c>
      <c r="J3" s="2" t="str">
        <f>VLOOKUP(I3,テーブル!$I$3:$K$7,2,0)</f>
        <v>マルイチ</v>
      </c>
      <c r="K3" s="3">
        <f>SUMPRODUCT((売上データ表!$B$2:$B$26=I3)*1,売上データ表!$G$2:$G$26,売上データ表!$F$2:$F$26)</f>
        <v>4597432</v>
      </c>
      <c r="L3" s="31">
        <f>ROUNDUP(IF(K3&gt;=5500000,K3*1.6%,K3*1.4%),-1)</f>
        <v>64370</v>
      </c>
      <c r="M3" s="3">
        <f>K3+L3</f>
        <v>4661802</v>
      </c>
      <c r="N3" s="33">
        <f>ROUNDUP(M3/VLOOKUP(I3,テーブル!$I$3:$K$7,3,0),3)</f>
        <v>1.0309999999999999</v>
      </c>
    </row>
    <row r="4" spans="1:14">
      <c r="A4" s="7">
        <v>13</v>
      </c>
      <c r="B4" s="2" t="str">
        <f>VLOOKUP(A4,テーブル!$A$3:$D$7,2,0)</f>
        <v>商品Ｆ</v>
      </c>
      <c r="C4" s="3">
        <f>DSUM(仕入データ表!$A$1:$G$31,C$2,$C$11:$C$12)</f>
        <v>1508</v>
      </c>
      <c r="D4" s="3">
        <f>DSUM(仕入データ表!$A$1:$G$31,D$2,$C$11:$C$12)</f>
        <v>3980710</v>
      </c>
      <c r="E4" s="3">
        <f>DSUM(売上データ表!$A$1:$G$26,$E$2,$C$11:$C$12)</f>
        <v>1426</v>
      </c>
      <c r="F4" s="3">
        <f>C4-E4</f>
        <v>82</v>
      </c>
      <c r="G4" s="8">
        <f t="shared" ref="G4:G7" si="0">ROUNDDOWN(D4/C4*F4,-2)</f>
        <v>216400</v>
      </c>
      <c r="I4" s="7" t="s">
        <v>50</v>
      </c>
      <c r="J4" s="2" t="str">
        <f>VLOOKUP(I4,テーブル!$I$3:$K$7,2,0)</f>
        <v>井上企画</v>
      </c>
      <c r="K4" s="3">
        <f>SUMPRODUCT((売上データ表!$B$2:$B$26=I4)*1,売上データ表!$G$2:$G$26,売上データ表!$F$2:$F$26)</f>
        <v>5785719</v>
      </c>
      <c r="L4" s="31">
        <f>ROUNDUP(IF(K4&gt;=5500000,K4*1.6%,K4*1.4%),-1)</f>
        <v>92580</v>
      </c>
      <c r="M4" s="3">
        <f t="shared" ref="M4:M7" si="1">K4+L4</f>
        <v>5878299</v>
      </c>
      <c r="N4" s="33">
        <f>ROUNDUP(M4/VLOOKUP(I4,テーブル!$I$3:$K$7,3,0),3)</f>
        <v>0.96</v>
      </c>
    </row>
    <row r="5" spans="1:14">
      <c r="A5" s="7">
        <v>11</v>
      </c>
      <c r="B5" s="2" t="str">
        <f>VLOOKUP(A5,テーブル!$A$3:$D$7,2,0)</f>
        <v>商品Ｄ</v>
      </c>
      <c r="C5" s="3">
        <f>DSUM(仕入データ表!$A$1:$G$31,C$2,$A$11:$A$12)</f>
        <v>1785</v>
      </c>
      <c r="D5" s="3">
        <f>DSUM(仕入データ表!$A$1:$G$31,D$2,$A$11:$A$12)</f>
        <v>5155625</v>
      </c>
      <c r="E5" s="3">
        <f>DSUM(売上データ表!$A$1:$G$26,$E$2,$A$11:$A$12)</f>
        <v>1730</v>
      </c>
      <c r="F5" s="3">
        <f>C5-E5</f>
        <v>55</v>
      </c>
      <c r="G5" s="8">
        <f t="shared" si="0"/>
        <v>158800</v>
      </c>
      <c r="I5" s="7" t="s">
        <v>52</v>
      </c>
      <c r="J5" s="2" t="str">
        <f>VLOOKUP(I5,テーブル!$I$3:$K$7,2,0)</f>
        <v>ＳＫ商事</v>
      </c>
      <c r="K5" s="3">
        <f>SUMPRODUCT((売上データ表!$B$2:$B$26=I5)*1,売上データ表!$G$2:$G$26,売上データ表!$F$2:$F$26)</f>
        <v>5124062</v>
      </c>
      <c r="L5" s="31">
        <f>ROUNDUP(IF(K5&gt;=5500000,K5*1.6%,K5*1.4%),-1)</f>
        <v>71740</v>
      </c>
      <c r="M5" s="3">
        <f t="shared" si="1"/>
        <v>5195802</v>
      </c>
      <c r="N5" s="33">
        <f>ROUNDUP(M5/VLOOKUP(I5,テーブル!$I$3:$K$7,3,0),3)</f>
        <v>1</v>
      </c>
    </row>
    <row r="6" spans="1:14">
      <c r="A6" s="7">
        <v>15</v>
      </c>
      <c r="B6" s="2" t="str">
        <f>VLOOKUP(A6,テーブル!$A$3:$D$7,2,0)</f>
        <v>商品Ｈ</v>
      </c>
      <c r="C6" s="3">
        <f>DSUM(仕入データ表!$A$1:$G$31,C$2,$E$11:$E$12)</f>
        <v>1716</v>
      </c>
      <c r="D6" s="3">
        <f>DSUM(仕入データ表!$A$1:$G$31,D$2,$E$11:$E$12)</f>
        <v>4917854</v>
      </c>
      <c r="E6" s="3">
        <f>DSUM(売上データ表!$A$1:$G$26,$E$2,$E$11:$E$12)</f>
        <v>1665</v>
      </c>
      <c r="F6" s="3">
        <f>C6-E6</f>
        <v>51</v>
      </c>
      <c r="G6" s="8">
        <f t="shared" si="0"/>
        <v>146100</v>
      </c>
      <c r="I6" s="7" t="s">
        <v>54</v>
      </c>
      <c r="J6" s="2" t="str">
        <f>VLOOKUP(I6,テーブル!$I$3:$K$7,2,0)</f>
        <v>杉山物産</v>
      </c>
      <c r="K6" s="3">
        <f>SUMPRODUCT((売上データ表!$B$2:$B$26=I6)*1,売上データ表!$G$2:$G$26,売上データ表!$F$2:$F$26)</f>
        <v>5507031</v>
      </c>
      <c r="L6" s="31">
        <f t="shared" ref="L6:L7" si="2">ROUNDUP(IF(K6&gt;=5500000,K6*1.6%,K6*1.4%),-1)</f>
        <v>88120</v>
      </c>
      <c r="M6" s="3">
        <f t="shared" si="1"/>
        <v>5595151</v>
      </c>
      <c r="N6" s="33">
        <f>ROUNDUP(M6/VLOOKUP(I6,テーブル!$I$3:$K$7,3,0),3)</f>
        <v>0.96099999999999997</v>
      </c>
    </row>
    <row r="7" spans="1:14">
      <c r="A7" s="7">
        <v>12</v>
      </c>
      <c r="B7" s="2" t="str">
        <f>VLOOKUP(A7,テーブル!$A$3:$D$7,2,0)</f>
        <v>商品Ｅ</v>
      </c>
      <c r="C7" s="3">
        <f>DSUM(仕入データ表!$A$1:$G$31,C$2,$B$11:$B$12)</f>
        <v>1476</v>
      </c>
      <c r="D7" s="3">
        <f>DSUM(仕入データ表!$A$1:$G$31,D$2,$B$11:$B$12)</f>
        <v>4912268</v>
      </c>
      <c r="E7" s="3">
        <f>DSUM(売上データ表!$A$1:$G$26,$E$2,$B$11:$B$12)</f>
        <v>1437</v>
      </c>
      <c r="F7" s="3">
        <f>C7-E7</f>
        <v>39</v>
      </c>
      <c r="G7" s="8">
        <f t="shared" si="0"/>
        <v>129700</v>
      </c>
      <c r="I7" s="7" t="s">
        <v>56</v>
      </c>
      <c r="J7" s="2" t="str">
        <f>VLOOKUP(I7,テーブル!$I$3:$K$7,2,0)</f>
        <v>三愛総業</v>
      </c>
      <c r="K7" s="3">
        <f>SUMPRODUCT((売上データ表!$B$2:$B$26=I7)*1,売上データ表!$G$2:$G$26,売上データ表!$F$2:$F$26)</f>
        <v>4973763</v>
      </c>
      <c r="L7" s="31">
        <f t="shared" si="2"/>
        <v>69640</v>
      </c>
      <c r="M7" s="3">
        <f t="shared" si="1"/>
        <v>5043403</v>
      </c>
      <c r="N7" s="33">
        <f>ROUNDUP(M7/VLOOKUP(I7,テーブル!$I$3:$K$7,3,0),3)</f>
        <v>1.0379999999999998</v>
      </c>
    </row>
    <row r="8" spans="1:14">
      <c r="A8" s="7"/>
      <c r="B8" s="2"/>
      <c r="C8" s="2"/>
      <c r="D8" s="2"/>
      <c r="E8" s="2"/>
      <c r="F8" s="2"/>
      <c r="G8" s="9"/>
      <c r="I8" s="7"/>
      <c r="J8" s="2"/>
      <c r="K8" s="2"/>
      <c r="L8" s="2"/>
      <c r="M8" s="2"/>
      <c r="N8" s="9"/>
    </row>
    <row r="9" spans="1:14" ht="14.25" thickBot="1">
      <c r="A9" s="10"/>
      <c r="B9" s="11" t="s">
        <v>5</v>
      </c>
      <c r="C9" s="12">
        <f>SUM(C3:C7)</f>
        <v>7961</v>
      </c>
      <c r="D9" s="12">
        <f>SUM(D3:D7)</f>
        <v>24137293</v>
      </c>
      <c r="E9" s="12">
        <f>SUM(E3:E7)</f>
        <v>7649</v>
      </c>
      <c r="F9" s="12">
        <f t="shared" ref="F9:G9" si="3">SUM(F3:F7)</f>
        <v>312</v>
      </c>
      <c r="G9" s="15">
        <f t="shared" si="3"/>
        <v>948700</v>
      </c>
      <c r="I9" s="10"/>
      <c r="J9" s="11" t="s">
        <v>5</v>
      </c>
      <c r="K9" s="12">
        <f t="shared" ref="K9:M9" si="4">SUM(K3:K7)</f>
        <v>25988007</v>
      </c>
      <c r="L9" s="12">
        <f t="shared" si="4"/>
        <v>386450</v>
      </c>
      <c r="M9" s="12">
        <f t="shared" si="4"/>
        <v>26374457</v>
      </c>
      <c r="N9" s="19"/>
    </row>
    <row r="10" spans="1:14" ht="14.25" thickBot="1"/>
    <row r="11" spans="1:14">
      <c r="A11" s="13" t="s">
        <v>0</v>
      </c>
      <c r="B11" s="13" t="s">
        <v>0</v>
      </c>
      <c r="C11" s="13" t="s">
        <v>0</v>
      </c>
      <c r="D11" s="13" t="s">
        <v>0</v>
      </c>
      <c r="E11" s="13" t="s">
        <v>0</v>
      </c>
    </row>
    <row r="12" spans="1:14" ht="14.25" thickBot="1">
      <c r="A12" s="14">
        <v>11</v>
      </c>
      <c r="B12" s="14">
        <v>12</v>
      </c>
      <c r="C12" s="14">
        <v>13</v>
      </c>
      <c r="D12" s="14">
        <v>14</v>
      </c>
      <c r="E12" s="14">
        <v>15</v>
      </c>
    </row>
  </sheetData>
  <sortState xmlns:xlrd2="http://schemas.microsoft.com/office/spreadsheetml/2017/richdata2" ref="A3:G7">
    <sortCondition descending="1" ref="G3:G7"/>
  </sortState>
  <mergeCells count="2">
    <mergeCell ref="A1:G1"/>
    <mergeCell ref="I1:N1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テーブル</vt:lpstr>
      <vt:lpstr>仕入データ表</vt:lpstr>
      <vt:lpstr>売上データ表</vt:lpstr>
      <vt:lpstr>計算表</vt:lpstr>
      <vt:lpstr>仕入データ表!Criteria</vt:lpstr>
      <vt:lpstr>仕入データ表!仕入データ表</vt:lpstr>
      <vt:lpstr>仕入データ表!仕入データ表_1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統括本部 検定担当</cp:lastModifiedBy>
  <cp:lastPrinted>2019-10-04T07:37:52Z</cp:lastPrinted>
  <dcterms:created xsi:type="dcterms:W3CDTF">2019-03-28T01:49:55Z</dcterms:created>
  <dcterms:modified xsi:type="dcterms:W3CDTF">2025-02-04T01:24:30Z</dcterms:modified>
</cp:coreProperties>
</file>