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974FB723-32AD-4BC9-B9CE-54DA5D6C28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1" r:id="rId1"/>
    <sheet name="上期" sheetId="2" r:id="rId2"/>
    <sheet name="下期" sheetId="3" r:id="rId3"/>
    <sheet name="計算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2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2" i="2"/>
  <c r="G2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2" i="3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D37" i="3" l="1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H30" i="3" l="1"/>
  <c r="H14" i="3"/>
  <c r="H18" i="3"/>
  <c r="H26" i="3"/>
  <c r="H34" i="3"/>
  <c r="H22" i="3"/>
  <c r="H33" i="3"/>
  <c r="H25" i="3"/>
  <c r="H17" i="3"/>
  <c r="H37" i="3"/>
  <c r="H29" i="3"/>
  <c r="H21" i="3"/>
  <c r="H36" i="3"/>
  <c r="H32" i="3"/>
  <c r="H28" i="3"/>
  <c r="H24" i="3"/>
  <c r="H20" i="3"/>
  <c r="H16" i="3"/>
  <c r="H35" i="3"/>
  <c r="H31" i="3"/>
  <c r="H27" i="3"/>
  <c r="H23" i="3"/>
  <c r="H19" i="3"/>
  <c r="H15" i="3"/>
  <c r="E39" i="3"/>
  <c r="H34" i="2"/>
  <c r="H30" i="2"/>
  <c r="H26" i="2"/>
  <c r="H22" i="2"/>
  <c r="H18" i="2"/>
  <c r="H14" i="2"/>
  <c r="H37" i="2"/>
  <c r="H33" i="2"/>
  <c r="H29" i="2"/>
  <c r="H25" i="2"/>
  <c r="H21" i="2"/>
  <c r="H32" i="2"/>
  <c r="H20" i="2"/>
  <c r="H36" i="2"/>
  <c r="H28" i="2"/>
  <c r="H16" i="2"/>
  <c r="H35" i="2"/>
  <c r="H31" i="2"/>
  <c r="H27" i="2"/>
  <c r="H23" i="2"/>
  <c r="H19" i="2"/>
  <c r="H15" i="2"/>
  <c r="H17" i="2"/>
  <c r="H24" i="2"/>
  <c r="E39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" i="2"/>
  <c r="D4" i="2"/>
  <c r="D5" i="2"/>
  <c r="D6" i="2"/>
  <c r="D7" i="2"/>
  <c r="D8" i="2"/>
  <c r="D9" i="2"/>
  <c r="D10" i="2"/>
  <c r="D11" i="2"/>
  <c r="D12" i="2"/>
  <c r="D1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  <c r="C9" i="4" l="1"/>
  <c r="C7" i="4"/>
  <c r="C3" i="4"/>
  <c r="C5" i="4"/>
  <c r="C8" i="4"/>
  <c r="C10" i="4"/>
  <c r="C6" i="4"/>
  <c r="C4" i="4"/>
  <c r="C11" i="4"/>
  <c r="B7" i="4"/>
  <c r="B3" i="4"/>
  <c r="B5" i="4"/>
  <c r="B8" i="4"/>
  <c r="B10" i="4"/>
  <c r="B6" i="4"/>
  <c r="B4" i="4"/>
  <c r="B11" i="4"/>
  <c r="B9" i="4"/>
  <c r="D5" i="4"/>
  <c r="D8" i="4"/>
  <c r="D10" i="4"/>
  <c r="D6" i="4"/>
  <c r="D4" i="4"/>
  <c r="D11" i="4"/>
  <c r="F39" i="3"/>
  <c r="F39" i="2"/>
  <c r="H13" i="3" l="1"/>
  <c r="D13" i="3"/>
  <c r="H12" i="3"/>
  <c r="D12" i="3"/>
  <c r="H11" i="3"/>
  <c r="D11" i="3"/>
  <c r="H10" i="3"/>
  <c r="D10" i="3"/>
  <c r="H9" i="3"/>
  <c r="D9" i="3"/>
  <c r="H8" i="3"/>
  <c r="D8" i="3"/>
  <c r="H7" i="3"/>
  <c r="D7" i="3"/>
  <c r="H6" i="3"/>
  <c r="D6" i="3"/>
  <c r="H5" i="3"/>
  <c r="D5" i="3"/>
  <c r="H4" i="3"/>
  <c r="D4" i="3"/>
  <c r="H3" i="3"/>
  <c r="D3" i="3"/>
  <c r="D2" i="3"/>
  <c r="H5" i="2"/>
  <c r="H6" i="2"/>
  <c r="H7" i="2"/>
  <c r="H8" i="2"/>
  <c r="H9" i="2"/>
  <c r="H10" i="2"/>
  <c r="H11" i="2"/>
  <c r="H12" i="2"/>
  <c r="H13" i="2"/>
  <c r="D2" i="2"/>
  <c r="K4" i="4"/>
  <c r="G7" i="4"/>
  <c r="G5" i="4"/>
  <c r="H5" i="4"/>
  <c r="K6" i="4"/>
  <c r="G4" i="4"/>
  <c r="H7" i="4"/>
  <c r="L7" i="4"/>
  <c r="L4" i="4"/>
  <c r="H4" i="4"/>
  <c r="K5" i="4"/>
  <c r="L6" i="4"/>
  <c r="H6" i="4"/>
  <c r="K7" i="4"/>
  <c r="L5" i="4"/>
  <c r="G6" i="4"/>
  <c r="H9" i="4" l="1"/>
  <c r="P4" i="4"/>
  <c r="P5" i="4"/>
  <c r="P7" i="4"/>
  <c r="P6" i="4"/>
  <c r="O7" i="4"/>
  <c r="O6" i="4"/>
  <c r="O5" i="4"/>
  <c r="O4" i="4"/>
  <c r="G9" i="4"/>
  <c r="L9" i="4"/>
  <c r="K9" i="4"/>
  <c r="D3" i="4"/>
  <c r="D7" i="4"/>
  <c r="H2" i="3"/>
  <c r="G39" i="3"/>
  <c r="H2" i="2"/>
  <c r="G39" i="2"/>
  <c r="H4" i="2"/>
  <c r="H3" i="2"/>
  <c r="I5" i="4"/>
  <c r="J7" i="4"/>
  <c r="M5" i="4"/>
  <c r="I7" i="4"/>
  <c r="N6" i="4"/>
  <c r="N4" i="4"/>
  <c r="I4" i="4"/>
  <c r="M6" i="4"/>
  <c r="J5" i="4"/>
  <c r="M7" i="4"/>
  <c r="N7" i="4"/>
  <c r="I6" i="4"/>
  <c r="N5" i="4"/>
  <c r="M4" i="4"/>
  <c r="J6" i="4"/>
  <c r="T7" i="4" l="1"/>
  <c r="S7" i="4"/>
  <c r="T6" i="4"/>
  <c r="S6" i="4"/>
  <c r="T5" i="4"/>
  <c r="S5" i="4"/>
  <c r="T4" i="4"/>
  <c r="S4" i="4"/>
  <c r="P9" i="4"/>
  <c r="O9" i="4"/>
  <c r="M9" i="4"/>
  <c r="N9" i="4"/>
  <c r="Q4" i="4"/>
  <c r="D9" i="4"/>
  <c r="I9" i="4"/>
  <c r="R7" i="4"/>
  <c r="Q7" i="4"/>
  <c r="U7" i="4" s="1"/>
  <c r="Q5" i="4"/>
  <c r="U5" i="4" s="1"/>
  <c r="Q6" i="4"/>
  <c r="H39" i="3"/>
  <c r="R6" i="4"/>
  <c r="R5" i="4"/>
  <c r="H39" i="2"/>
  <c r="J4" i="4"/>
  <c r="U6" i="4" l="1"/>
  <c r="V6" i="4" s="1"/>
  <c r="W6" i="4"/>
  <c r="W5" i="4"/>
  <c r="W7" i="4"/>
  <c r="W4" i="4"/>
  <c r="V5" i="4"/>
  <c r="V7" i="4"/>
  <c r="Q9" i="4"/>
  <c r="R4" i="4"/>
  <c r="U4" i="4" s="1"/>
  <c r="J9" i="4"/>
  <c r="U9" i="4" l="1"/>
  <c r="R9" i="4"/>
  <c r="V4" i="4" l="1"/>
  <c r="V9" i="4" s="1"/>
</calcChain>
</file>

<file path=xl/sharedStrings.xml><?xml version="1.0" encoding="utf-8"?>
<sst xmlns="http://schemas.openxmlformats.org/spreadsheetml/2006/main" count="92" uniqueCount="52">
  <si>
    <t>合　計</t>
    <rPh sb="0" eb="1">
      <t>ア</t>
    </rPh>
    <rPh sb="2" eb="3">
      <t>ケイ</t>
    </rPh>
    <phoneticPr fontId="5"/>
  </si>
  <si>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</si>
  <si>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</si>
  <si>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</si>
  <si>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</si>
  <si>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</si>
  <si>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</si>
  <si>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手数料率</t>
    <rPh sb="0" eb="3">
      <t>テスウリョウ</t>
    </rPh>
    <phoneticPr fontId="2"/>
  </si>
  <si>
    <t>判定</t>
    <rPh sb="0" eb="2">
      <t>ハンテイ</t>
    </rPh>
    <phoneticPr fontId="2"/>
  </si>
  <si>
    <t>＜商品テーブル＞</t>
    <rPh sb="1" eb="3">
      <t>ショウヒン</t>
    </rPh>
    <phoneticPr fontId="2"/>
  </si>
  <si>
    <t>商品名</t>
    <rPh sb="0" eb="2">
      <t>ショウヒン</t>
    </rPh>
    <rPh sb="2" eb="3">
      <t>メイ</t>
    </rPh>
    <phoneticPr fontId="2"/>
  </si>
  <si>
    <t>売価</t>
    <rPh sb="0" eb="2">
      <t>バイカ</t>
    </rPh>
    <phoneticPr fontId="2"/>
  </si>
  <si>
    <t>＜委託先テーブル＞</t>
    <rPh sb="1" eb="3">
      <t>イタク</t>
    </rPh>
    <phoneticPr fontId="2"/>
  </si>
  <si>
    <t>合　計</t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</si>
  <si>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</si>
  <si>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</si>
  <si>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商品別総括表</t>
    <rPh sb="0" eb="2">
      <t>ショウヒン</t>
    </rPh>
    <rPh sb="2" eb="3">
      <t>ベツ</t>
    </rPh>
    <rPh sb="3" eb="6">
      <t>ソウカツヒョウ</t>
    </rPh>
    <phoneticPr fontId="2"/>
  </si>
  <si>
    <t>返品率</t>
    <rPh sb="0" eb="2">
      <t>ヘンピン</t>
    </rPh>
    <rPh sb="2" eb="3">
      <t>リツ</t>
    </rPh>
    <phoneticPr fontId="2"/>
  </si>
  <si>
    <t>達成率</t>
    <rPh sb="0" eb="3">
      <t>タッセイリツ</t>
    </rPh>
    <phoneticPr fontId="2"/>
  </si>
  <si>
    <t>委託先名</t>
    <phoneticPr fontId="2"/>
  </si>
  <si>
    <t>販売率</t>
    <rPh sb="0" eb="2">
      <t>ハンバイ</t>
    </rPh>
    <rPh sb="2" eb="3">
      <t>リツ</t>
    </rPh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</si>
  <si>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</si>
  <si>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</si>
  <si>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全期</t>
    <rPh sb="0" eb="2">
      <t>ゼンキ</t>
    </rPh>
    <phoneticPr fontId="2"/>
  </si>
  <si>
    <t>支払額</t>
    <rPh sb="0" eb="3">
      <t>シハライガク</t>
    </rPh>
    <phoneticPr fontId="2"/>
  </si>
  <si>
    <t>Ｈ商品</t>
  </si>
  <si>
    <t>Ｈ商品</t>
    <phoneticPr fontId="2"/>
  </si>
  <si>
    <t>Ｉ商品</t>
    <rPh sb="1" eb="3">
      <t>ショウヒン</t>
    </rPh>
    <phoneticPr fontId="2"/>
  </si>
  <si>
    <t>Ｊ商品</t>
    <rPh sb="1" eb="3">
      <t>ショウヒン</t>
    </rPh>
    <phoneticPr fontId="2"/>
  </si>
  <si>
    <t>Ｋ商品</t>
  </si>
  <si>
    <t>Ｋ商品</t>
    <phoneticPr fontId="2"/>
  </si>
  <si>
    <t>Ｌ商品</t>
  </si>
  <si>
    <t>Ｌ商品</t>
    <phoneticPr fontId="2"/>
  </si>
  <si>
    <t>Ｍ商品</t>
  </si>
  <si>
    <t>Ｍ商品</t>
    <phoneticPr fontId="2"/>
  </si>
  <si>
    <t>Ｎ商品</t>
  </si>
  <si>
    <t>Ｎ商品</t>
    <phoneticPr fontId="2"/>
  </si>
  <si>
    <t>Ｆ商品</t>
  </si>
  <si>
    <t>Ｆ商品</t>
    <phoneticPr fontId="2"/>
  </si>
  <si>
    <t>Ｇ商品</t>
    <rPh sb="1" eb="3">
      <t>ショウヒン</t>
    </rPh>
    <phoneticPr fontId="2"/>
  </si>
  <si>
    <t>鈴木商店</t>
    <rPh sb="0" eb="2">
      <t>スズキ</t>
    </rPh>
    <rPh sb="2" eb="4">
      <t>ショウテン</t>
    </rPh>
    <phoneticPr fontId="2"/>
  </si>
  <si>
    <t>佐藤商事</t>
    <rPh sb="0" eb="2">
      <t>サトウ</t>
    </rPh>
    <rPh sb="2" eb="4">
      <t>ショウジ</t>
    </rPh>
    <phoneticPr fontId="2"/>
  </si>
  <si>
    <t>旭ストア</t>
    <rPh sb="0" eb="1">
      <t>アサヒ</t>
    </rPh>
    <phoneticPr fontId="2"/>
  </si>
  <si>
    <t>井上食品</t>
    <rPh sb="0" eb="2">
      <t>イノウエ</t>
    </rPh>
    <rPh sb="2" eb="4">
      <t>ショクヒン</t>
    </rPh>
    <phoneticPr fontId="2"/>
  </si>
  <si>
    <t>目標数</t>
    <rPh sb="0" eb="2">
      <t>モクヒョウ</t>
    </rPh>
    <rPh sb="2" eb="3">
      <t>スウ</t>
    </rPh>
    <phoneticPr fontId="2"/>
  </si>
  <si>
    <t>奨励金</t>
    <rPh sb="0" eb="3">
      <t>ショウレイキン</t>
    </rPh>
    <phoneticPr fontId="2"/>
  </si>
  <si>
    <t>目標額</t>
    <rPh sb="0" eb="2">
      <t>モクヒョウ</t>
    </rPh>
    <rPh sb="2" eb="3">
      <t>ガク</t>
    </rPh>
    <phoneticPr fontId="2"/>
  </si>
  <si>
    <t>井上食品</t>
  </si>
  <si>
    <t>旭ストア</t>
  </si>
  <si>
    <t>佐藤商事</t>
  </si>
  <si>
    <t>鈴木商店</t>
  </si>
  <si>
    <t>委　託　先　別　計　算　表</t>
    <rPh sb="0" eb="1">
      <t>イ</t>
    </rPh>
    <rPh sb="2" eb="3">
      <t>タク</t>
    </rPh>
    <rPh sb="4" eb="5">
      <t>サキ</t>
    </rPh>
    <rPh sb="8" eb="9">
      <t>ケイ</t>
    </rPh>
    <rPh sb="10" eb="11">
      <t>サン</t>
    </rPh>
    <rPh sb="12" eb="1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</si>
</sst>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38" fontId="4" fillId="0" borderId="8" xfId="2" applyFont="1" applyBorder="1">
      <alignment vertical="center"/>
    </xf>
    <xf numFmtId="0" fontId="4" fillId="0" borderId="9" xfId="0" applyFont="1" applyBorder="1">
      <alignment vertical="center"/>
    </xf>
    <xf numFmtId="38" fontId="4" fillId="0" borderId="8" xfId="0" applyNumberFormat="1" applyFont="1" applyBorder="1">
      <alignment vertical="center"/>
    </xf>
    <xf numFmtId="0" fontId="4" fillId="0" borderId="11" xfId="0" applyFont="1" applyBorder="1">
      <alignment vertical="center"/>
    </xf>
    <xf numFmtId="38" fontId="4" fillId="0" borderId="9" xfId="2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8" xfId="0" applyFont="1" applyBorder="1">
      <alignment vertical="center"/>
    </xf>
    <xf numFmtId="3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0" fillId="0" borderId="5" xfId="0" applyBorder="1">
      <alignment vertical="center"/>
    </xf>
    <xf numFmtId="38" fontId="4" fillId="0" borderId="6" xfId="2" applyFont="1" applyBorder="1">
      <alignment vertical="center"/>
    </xf>
    <xf numFmtId="0" fontId="0" fillId="0" borderId="7" xfId="0" applyBorder="1">
      <alignment vertical="center"/>
    </xf>
    <xf numFmtId="0" fontId="4" fillId="0" borderId="0" xfId="0" quotePrefix="1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1" xfId="2" applyFont="1" applyFill="1" applyBorder="1">
      <alignment vertical="center"/>
    </xf>
    <xf numFmtId="176" fontId="4" fillId="0" borderId="6" xfId="1" applyNumberFormat="1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7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4" fillId="0" borderId="8" xfId="2" applyFont="1" applyFill="1" applyBorder="1">
      <alignment vertical="center"/>
    </xf>
    <xf numFmtId="38" fontId="4" fillId="0" borderId="9" xfId="2" applyFont="1" applyFill="1" applyBorder="1">
      <alignment vertical="center"/>
    </xf>
    <xf numFmtId="176" fontId="4" fillId="0" borderId="1" xfId="1" applyNumberFormat="1" applyFont="1" applyBorder="1">
      <alignment vertical="center"/>
    </xf>
    <xf numFmtId="38" fontId="6" fillId="0" borderId="1" xfId="2" applyFon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26" xfId="2" applyFont="1" applyBorder="1">
      <alignment vertical="center"/>
    </xf>
    <xf numFmtId="0" fontId="4" fillId="0" borderId="26" xfId="0" applyFont="1" applyBorder="1">
      <alignment vertical="center"/>
    </xf>
    <xf numFmtId="38" fontId="4" fillId="0" borderId="27" xfId="0" applyNumberFormat="1" applyFont="1" applyBorder="1">
      <alignment vertical="center"/>
    </xf>
    <xf numFmtId="0" fontId="0" fillId="0" borderId="28" xfId="0" applyBorder="1" applyAlignment="1">
      <alignment horizontal="center" vertical="center"/>
    </xf>
    <xf numFmtId="0" fontId="6" fillId="0" borderId="6" xfId="0" applyFont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6" xfId="1" applyNumberFormat="1" applyFont="1" applyBorder="1">
      <alignment vertical="center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5D9-43FE-8366-7E90D7B8285A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5D9-43FE-8366-7E90D7B82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145728"/>
        <c:axId val="113147264"/>
      </c:barChart>
      <c:catAx>
        <c:axId val="11314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7264"/>
        <c:crosses val="autoZero"/>
        <c:auto val="1"/>
        <c:lblAlgn val="ctr"/>
        <c:lblOffset val="100"/>
        <c:noMultiLvlLbl val="0"/>
      </c:catAx>
      <c:valAx>
        <c:axId val="113147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57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計算表!$C$2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計算表!$A$3:$A$11</c:f>
              <c:strCache>
                <c:ptCount val="9"/>
                <c:pt idx="0">
                  <c:v>Ｈ商品</c:v>
                </c:pt>
                <c:pt idx="1">
                  <c:v>Ｍ商品</c:v>
                </c:pt>
                <c:pt idx="2">
                  <c:v>Ｉ商品</c:v>
                </c:pt>
                <c:pt idx="3">
                  <c:v>Ｌ商品</c:v>
                </c:pt>
                <c:pt idx="4">
                  <c:v>Ｇ商品</c:v>
                </c:pt>
                <c:pt idx="5">
                  <c:v>Ｊ商品</c:v>
                </c:pt>
                <c:pt idx="6">
                  <c:v>Ｆ商品</c:v>
                </c:pt>
                <c:pt idx="7">
                  <c:v>Ｋ商品</c:v>
                </c:pt>
                <c:pt idx="8">
                  <c:v>Ｎ商品</c:v>
                </c:pt>
              </c:strCache>
            </c:strRef>
          </c:cat>
          <c:val>
            <c:numRef>
              <c:f>計算表!$C$3:$C$11</c:f>
              <c:numCache>
                <c:formatCode>#,##0_);[Red]\(#,##0\)</c:formatCode>
                <c:ptCount val="9"/>
                <c:pt idx="0">
                  <c:v>3018325</c:v>
                </c:pt>
                <c:pt idx="1">
                  <c:v>3920418</c:v>
                </c:pt>
                <c:pt idx="2">
                  <c:v>3167619</c:v>
                </c:pt>
                <c:pt idx="3">
                  <c:v>3691268</c:v>
                </c:pt>
                <c:pt idx="4">
                  <c:v>2386458</c:v>
                </c:pt>
                <c:pt idx="5">
                  <c:v>3330599</c:v>
                </c:pt>
                <c:pt idx="6">
                  <c:v>2150304</c:v>
                </c:pt>
                <c:pt idx="7">
                  <c:v>3375134</c:v>
                </c:pt>
                <c:pt idx="8">
                  <c:v>3567725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1-468A-BD5A-A3C50D1CF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23868448"/>
        <c:axId val="223878528"/>
      </c:barChart>
      <c:lineChart>
        <c:grouping val="standard"/>
        <c:varyColors val="0"/>
        <c:ser>
          <c:idx val="0"/>
          <c:order val="0"/>
          <c:tx>
            <c:strRef>
              <c:f>計算表!$B$2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計算表!$A$3:$A$11</c:f>
              <c:strCache>
                <c:ptCount val="9"/>
                <c:pt idx="0">
                  <c:v>Ｈ商品</c:v>
                </c:pt>
                <c:pt idx="1">
                  <c:v>Ｍ商品</c:v>
                </c:pt>
                <c:pt idx="2">
                  <c:v>Ｉ商品</c:v>
                </c:pt>
                <c:pt idx="3">
                  <c:v>Ｌ商品</c:v>
                </c:pt>
                <c:pt idx="4">
                  <c:v>Ｇ商品</c:v>
                </c:pt>
                <c:pt idx="5">
                  <c:v>Ｊ商品</c:v>
                </c:pt>
                <c:pt idx="6">
                  <c:v>Ｆ商品</c:v>
                </c:pt>
                <c:pt idx="7">
                  <c:v>Ｋ商品</c:v>
                </c:pt>
                <c:pt idx="8">
                  <c:v>Ｎ商品</c:v>
                </c:pt>
              </c:strCache>
            </c:strRef>
          </c:cat>
          <c:val>
            <c:numRef>
              <c:f>計算表!$B$3:$B$11</c:f>
              <c:numCache>
                <c:formatCode>#,##0_);[Red]\(#,##0\)</c:formatCode>
                <c:ptCount val="9"/>
                <c:pt idx="0">
                  <c:v>3845</c:v>
                </c:pt>
                <c:pt idx="1">
                  <c:v>3702</c:v>
                </c:pt>
                <c:pt idx="2">
                  <c:v>3679</c:v>
                </c:pt>
                <c:pt idx="3">
                  <c:v>3563</c:v>
                </c:pt>
                <c:pt idx="4">
                  <c:v>3546</c:v>
                </c:pt>
                <c:pt idx="5">
                  <c:v>3517</c:v>
                </c:pt>
                <c:pt idx="6">
                  <c:v>3446</c:v>
                </c:pt>
                <c:pt idx="7">
                  <c:v>3437</c:v>
                </c:pt>
                <c:pt idx="8">
                  <c:v>3325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31-468A-BD5A-A3C50D1CF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005968"/>
        <c:axId val="232006448"/>
      </c:lineChart>
      <c:catAx>
        <c:axId val="23200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232006448"/>
        <c:crosses val="autoZero"/>
        <c:auto val="1"/>
        <c:lblAlgn val="ctr"/>
        <c:lblOffset val="100"/>
        <c:noMultiLvlLbl val="0"/>
      </c:catAx>
      <c:valAx>
        <c:axId val="2320064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232005968"/>
        <c:crosses val="autoZero"/>
        <c:crossBetween val="between"/>
      </c:valAx>
      <c:valAx>
        <c:axId val="22387852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223868448"/>
        <c:crosses val="max"/>
        <c:crossBetween val="between"/>
      </c:valAx>
      <c:catAx>
        <c:axId val="223868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387852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41182</xdr:colOff>
      <xdr:row>17</xdr:row>
      <xdr:rowOff>152401</xdr:rowOff>
    </xdr:from>
    <xdr:to>
      <xdr:col>21</xdr:col>
      <xdr:colOff>476812</xdr:colOff>
      <xdr:row>36</xdr:row>
      <xdr:rowOff>76201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3C3428D9-49D1-7FF0-F112-4134EBB8F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4.625" style="1" customWidth="1"/>
    <col min="5" max="5" width="7.5" style="1" bestFit="1" customWidth="1"/>
    <col min="6" max="7" width="9.5" style="1" bestFit="1" customWidth="1"/>
    <col min="8" max="8" width="7.5" style="1" bestFit="1" customWidth="1"/>
    <col min="9" max="9" width="10.5" style="1" bestFit="1" customWidth="1"/>
    <col min="10" max="16384" width="9" style="1"/>
  </cols>
  <sheetData>
    <row r="1" spans="1:9">
      <c r="A1" t="s">
        <v>9</v>
      </c>
      <c r="E1" t="s">
        <v>12</v>
      </c>
    </row>
    <row r="2" spans="1:9">
      <c r="A2" s="15" t="s">
        <v>14</v>
      </c>
      <c r="B2" s="15" t="s">
        <v>10</v>
      </c>
      <c r="C2" s="15" t="s">
        <v>11</v>
      </c>
      <c r="E2" s="15" t="s">
        <v>15</v>
      </c>
      <c r="F2" s="2" t="s">
        <v>1</v>
      </c>
      <c r="G2" s="15" t="s">
        <v>7</v>
      </c>
      <c r="H2" s="15" t="s">
        <v>44</v>
      </c>
      <c r="I2" s="15" t="s">
        <v>46</v>
      </c>
    </row>
    <row r="3" spans="1:9">
      <c r="A3" s="4">
        <v>11</v>
      </c>
      <c r="B3" s="19" t="s">
        <v>38</v>
      </c>
      <c r="C3" s="5">
        <v>624</v>
      </c>
      <c r="E3" s="4">
        <v>101</v>
      </c>
      <c r="F3" s="19" t="s">
        <v>43</v>
      </c>
      <c r="G3" s="42">
        <v>0.10300000000000001</v>
      </c>
      <c r="H3" s="43">
        <v>8540</v>
      </c>
      <c r="I3" s="18">
        <v>7521000</v>
      </c>
    </row>
    <row r="4" spans="1:9">
      <c r="A4" s="4">
        <v>12</v>
      </c>
      <c r="B4" s="19" t="s">
        <v>39</v>
      </c>
      <c r="C4" s="5">
        <v>673</v>
      </c>
      <c r="E4" s="4">
        <v>102</v>
      </c>
      <c r="F4" s="19" t="s">
        <v>42</v>
      </c>
      <c r="G4" s="42">
        <v>9.7000000000000003E-2</v>
      </c>
      <c r="H4" s="43">
        <v>7950</v>
      </c>
      <c r="I4" s="18">
        <v>7145000</v>
      </c>
    </row>
    <row r="5" spans="1:9">
      <c r="A5" s="4">
        <v>13</v>
      </c>
      <c r="B5" s="19" t="s">
        <v>26</v>
      </c>
      <c r="C5" s="5">
        <v>785</v>
      </c>
      <c r="E5" s="4">
        <v>103</v>
      </c>
      <c r="F5" s="19" t="s">
        <v>41</v>
      </c>
      <c r="G5" s="42">
        <v>8.3999999999999991E-2</v>
      </c>
      <c r="H5" s="43">
        <v>7720</v>
      </c>
      <c r="I5" s="18">
        <v>6783000</v>
      </c>
    </row>
    <row r="6" spans="1:9">
      <c r="A6" s="4">
        <v>14</v>
      </c>
      <c r="B6" s="19" t="s">
        <v>27</v>
      </c>
      <c r="C6" s="5">
        <v>861</v>
      </c>
      <c r="E6" s="4">
        <v>104</v>
      </c>
      <c r="F6" s="19" t="s">
        <v>40</v>
      </c>
      <c r="G6" s="42">
        <v>0.10800000000000001</v>
      </c>
      <c r="H6" s="43">
        <v>7800</v>
      </c>
      <c r="I6" s="18">
        <v>7139000</v>
      </c>
    </row>
    <row r="7" spans="1:9">
      <c r="A7" s="4">
        <v>15</v>
      </c>
      <c r="B7" s="19" t="s">
        <v>28</v>
      </c>
      <c r="C7" s="5">
        <v>947</v>
      </c>
    </row>
    <row r="8" spans="1:9">
      <c r="A8" s="4">
        <v>16</v>
      </c>
      <c r="B8" s="19" t="s">
        <v>30</v>
      </c>
      <c r="C8" s="5">
        <v>982</v>
      </c>
    </row>
    <row r="9" spans="1:9">
      <c r="A9" s="4">
        <v>17</v>
      </c>
      <c r="B9" s="19" t="s">
        <v>32</v>
      </c>
      <c r="C9" s="5">
        <v>1036</v>
      </c>
    </row>
    <row r="10" spans="1:9">
      <c r="A10" s="4">
        <v>18</v>
      </c>
      <c r="B10" s="19" t="s">
        <v>34</v>
      </c>
      <c r="C10" s="5">
        <v>1059</v>
      </c>
    </row>
    <row r="11" spans="1:9">
      <c r="A11" s="4">
        <v>19</v>
      </c>
      <c r="B11" s="19" t="s">
        <v>36</v>
      </c>
      <c r="C11" s="5">
        <v>1073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zoomScaleNormal="100" workbookViewId="0"/>
  </sheetViews>
  <sheetFormatPr defaultRowHeight="13.5"/>
  <cols>
    <col min="1" max="3" width="7.5" style="1" bestFit="1" customWidth="1"/>
    <col min="4" max="4" width="9.5" style="1" bestFit="1" customWidth="1"/>
    <col min="5" max="6" width="7.5" style="1" customWidth="1"/>
    <col min="7" max="7" width="11.625" style="1" bestFit="1" customWidth="1"/>
    <col min="8" max="8" width="10.5" style="1" bestFit="1" customWidth="1"/>
    <col min="9" max="9" width="7.5" style="1" bestFit="1" customWidth="1"/>
    <col min="10" max="16384" width="9" style="1"/>
  </cols>
  <sheetData>
    <row r="1" spans="1:9">
      <c r="A1" s="12" t="s">
        <v>14</v>
      </c>
      <c r="B1" s="30" t="s">
        <v>10</v>
      </c>
      <c r="C1" s="30" t="s">
        <v>15</v>
      </c>
      <c r="D1" s="30" t="s">
        <v>2</v>
      </c>
      <c r="E1" s="30" t="s">
        <v>3</v>
      </c>
      <c r="F1" s="30" t="s">
        <v>4</v>
      </c>
      <c r="G1" s="30" t="s">
        <v>5</v>
      </c>
      <c r="H1" s="30" t="s">
        <v>6</v>
      </c>
      <c r="I1" s="13" t="s">
        <v>20</v>
      </c>
    </row>
    <row r="2" spans="1:9">
      <c r="A2" s="3">
        <v>11</v>
      </c>
      <c r="B2" s="16" t="str">
        <f>VLOOKUP(A2,テーブル!$A$3:$C$11,2,0)</f>
        <v>Ｆ商品</v>
      </c>
      <c r="C2" s="4">
        <v>101</v>
      </c>
      <c r="D2" s="4" t="str">
        <f>VLOOKUP(C2,テーブル!$E$3:$I$6,2,0)</f>
        <v>井上食品</v>
      </c>
      <c r="E2" s="31">
        <v>488</v>
      </c>
      <c r="F2" s="31">
        <v>448</v>
      </c>
      <c r="G2" s="32">
        <f>VLOOKUP(A2,テーブル!$A$3:$C$11,3,0)*F2</f>
        <v>279552</v>
      </c>
      <c r="H2" s="32">
        <f>ROUND(G2*VLOOKUP(C2,テーブル!$E$3:$I$6,3,0),-2)</f>
        <v>28800</v>
      </c>
      <c r="I2" s="33">
        <f>ROUNDUP(F2/E2,3)</f>
        <v>0.91900000000000004</v>
      </c>
    </row>
    <row r="3" spans="1:9">
      <c r="A3" s="3">
        <v>11</v>
      </c>
      <c r="B3" s="16" t="str">
        <f>VLOOKUP(A3,テーブル!$A$3:$C$11,2,0)</f>
        <v>Ｆ商品</v>
      </c>
      <c r="C3" s="4">
        <v>102</v>
      </c>
      <c r="D3" s="4" t="str">
        <f>VLOOKUP(C3,テーブル!$E$3:$I$6,2,0)</f>
        <v>旭ストア</v>
      </c>
      <c r="E3" s="31">
        <v>480</v>
      </c>
      <c r="F3" s="31">
        <v>439</v>
      </c>
      <c r="G3" s="32">
        <f>VLOOKUP(A3,テーブル!$A$3:$C$11,3,0)*F3</f>
        <v>273936</v>
      </c>
      <c r="H3" s="32">
        <f>ROUND(G3*VLOOKUP(C3,テーブル!$E$3:$I$6,3,0),-2)</f>
        <v>26600</v>
      </c>
      <c r="I3" s="33">
        <f t="shared" ref="I3:I37" si="0">ROUNDUP(F3/E3,3)</f>
        <v>0.91500000000000004</v>
      </c>
    </row>
    <row r="4" spans="1:9">
      <c r="A4" s="3">
        <v>11</v>
      </c>
      <c r="B4" s="16" t="str">
        <f>VLOOKUP(A4,テーブル!$A$3:$C$11,2,0)</f>
        <v>Ｆ商品</v>
      </c>
      <c r="C4" s="4">
        <v>103</v>
      </c>
      <c r="D4" s="4" t="str">
        <f>VLOOKUP(C4,テーブル!$E$3:$I$6,2,0)</f>
        <v>佐藤商事</v>
      </c>
      <c r="E4" s="31">
        <v>423</v>
      </c>
      <c r="F4" s="31">
        <v>383</v>
      </c>
      <c r="G4" s="32">
        <f>VLOOKUP(A4,テーブル!$A$3:$C$11,3,0)*F4</f>
        <v>238992</v>
      </c>
      <c r="H4" s="32">
        <f>ROUND(G4*VLOOKUP(C4,テーブル!$E$3:$I$6,3,0),-2)</f>
        <v>20100</v>
      </c>
      <c r="I4" s="33">
        <f t="shared" si="0"/>
        <v>0.90600000000000003</v>
      </c>
    </row>
    <row r="5" spans="1:9">
      <c r="A5" s="3">
        <v>11</v>
      </c>
      <c r="B5" s="16" t="str">
        <f>VLOOKUP(A5,テーブル!$A$3:$C$11,2,0)</f>
        <v>Ｆ商品</v>
      </c>
      <c r="C5" s="4">
        <v>104</v>
      </c>
      <c r="D5" s="4" t="str">
        <f>VLOOKUP(C5,テーブル!$E$3:$I$6,2,0)</f>
        <v>鈴木商店</v>
      </c>
      <c r="E5" s="31">
        <v>516</v>
      </c>
      <c r="F5" s="31">
        <v>473</v>
      </c>
      <c r="G5" s="32">
        <f>VLOOKUP(A5,テーブル!$A$3:$C$11,3,0)*F5</f>
        <v>295152</v>
      </c>
      <c r="H5" s="32">
        <f>ROUND(G5*VLOOKUP(C5,テーブル!$E$3:$I$6,3,0),-2)</f>
        <v>31900</v>
      </c>
      <c r="I5" s="33">
        <f t="shared" si="0"/>
        <v>0.91700000000000004</v>
      </c>
    </row>
    <row r="6" spans="1:9">
      <c r="A6" s="3">
        <v>12</v>
      </c>
      <c r="B6" s="16" t="str">
        <f>VLOOKUP(A6,テーブル!$A$3:$C$11,2,0)</f>
        <v>Ｇ商品</v>
      </c>
      <c r="C6" s="4">
        <v>101</v>
      </c>
      <c r="D6" s="4" t="str">
        <f>VLOOKUP(C6,テーブル!$E$3:$I$6,2,0)</f>
        <v>井上食品</v>
      </c>
      <c r="E6" s="31">
        <v>495</v>
      </c>
      <c r="F6" s="31">
        <v>452</v>
      </c>
      <c r="G6" s="32">
        <f>VLOOKUP(A6,テーブル!$A$3:$C$11,3,0)*F6</f>
        <v>304196</v>
      </c>
      <c r="H6" s="32">
        <f>ROUND(G6*VLOOKUP(C6,テーブル!$E$3:$I$6,3,0),-2)</f>
        <v>31300</v>
      </c>
      <c r="I6" s="33">
        <f t="shared" si="0"/>
        <v>0.91400000000000003</v>
      </c>
    </row>
    <row r="7" spans="1:9">
      <c r="A7" s="3">
        <v>12</v>
      </c>
      <c r="B7" s="16" t="str">
        <f>VLOOKUP(A7,テーブル!$A$3:$C$11,2,0)</f>
        <v>Ｇ商品</v>
      </c>
      <c r="C7" s="4">
        <v>102</v>
      </c>
      <c r="D7" s="4" t="str">
        <f>VLOOKUP(C7,テーブル!$E$3:$I$6,2,0)</f>
        <v>旭ストア</v>
      </c>
      <c r="E7" s="31">
        <v>463</v>
      </c>
      <c r="F7" s="31">
        <v>420</v>
      </c>
      <c r="G7" s="32">
        <f>VLOOKUP(A7,テーブル!$A$3:$C$11,3,0)*F7</f>
        <v>282660</v>
      </c>
      <c r="H7" s="32">
        <f>ROUND(G7*VLOOKUP(C7,テーブル!$E$3:$I$6,3,0),-2)</f>
        <v>27400</v>
      </c>
      <c r="I7" s="33">
        <f t="shared" si="0"/>
        <v>0.90800000000000003</v>
      </c>
    </row>
    <row r="8" spans="1:9">
      <c r="A8" s="3">
        <v>12</v>
      </c>
      <c r="B8" s="16" t="str">
        <f>VLOOKUP(A8,テーブル!$A$3:$C$11,2,0)</f>
        <v>Ｇ商品</v>
      </c>
      <c r="C8" s="4">
        <v>103</v>
      </c>
      <c r="D8" s="4" t="str">
        <f>VLOOKUP(C8,テーブル!$E$3:$I$6,2,0)</f>
        <v>佐藤商事</v>
      </c>
      <c r="E8" s="31">
        <v>452</v>
      </c>
      <c r="F8" s="31">
        <v>412</v>
      </c>
      <c r="G8" s="32">
        <f>VLOOKUP(A8,テーブル!$A$3:$C$11,3,0)*F8</f>
        <v>277276</v>
      </c>
      <c r="H8" s="32">
        <f>ROUND(G8*VLOOKUP(C8,テーブル!$E$3:$I$6,3,0),-2)</f>
        <v>23300</v>
      </c>
      <c r="I8" s="33">
        <f t="shared" si="0"/>
        <v>0.91200000000000003</v>
      </c>
    </row>
    <row r="9" spans="1:9">
      <c r="A9" s="3">
        <v>12</v>
      </c>
      <c r="B9" s="16" t="str">
        <f>VLOOKUP(A9,テーブル!$A$3:$C$11,2,0)</f>
        <v>Ｇ商品</v>
      </c>
      <c r="C9" s="4">
        <v>104</v>
      </c>
      <c r="D9" s="4" t="str">
        <f>VLOOKUP(C9,テーブル!$E$3:$I$6,2,0)</f>
        <v>鈴木商店</v>
      </c>
      <c r="E9" s="31">
        <v>475</v>
      </c>
      <c r="F9" s="31">
        <v>428</v>
      </c>
      <c r="G9" s="32">
        <f>VLOOKUP(A9,テーブル!$A$3:$C$11,3,0)*F9</f>
        <v>288044</v>
      </c>
      <c r="H9" s="32">
        <f>ROUND(G9*VLOOKUP(C9,テーブル!$E$3:$I$6,3,0),-2)</f>
        <v>31100</v>
      </c>
      <c r="I9" s="33">
        <f t="shared" si="0"/>
        <v>0.90200000000000002</v>
      </c>
    </row>
    <row r="10" spans="1:9">
      <c r="A10" s="3">
        <v>13</v>
      </c>
      <c r="B10" s="16" t="str">
        <f>VLOOKUP(A10,テーブル!$A$3:$C$11,2,0)</f>
        <v>Ｈ商品</v>
      </c>
      <c r="C10" s="4">
        <v>101</v>
      </c>
      <c r="D10" s="4" t="str">
        <f>VLOOKUP(C10,テーブル!$E$3:$I$6,2,0)</f>
        <v>井上食品</v>
      </c>
      <c r="E10" s="31">
        <v>521</v>
      </c>
      <c r="F10" s="31">
        <v>490</v>
      </c>
      <c r="G10" s="32">
        <f>VLOOKUP(A10,テーブル!$A$3:$C$11,3,0)*F10</f>
        <v>384650</v>
      </c>
      <c r="H10" s="32">
        <f>ROUND(G10*VLOOKUP(C10,テーブル!$E$3:$I$6,3,0),-2)</f>
        <v>39600</v>
      </c>
      <c r="I10" s="33">
        <f t="shared" si="0"/>
        <v>0.94099999999999995</v>
      </c>
    </row>
    <row r="11" spans="1:9">
      <c r="A11" s="3">
        <v>13</v>
      </c>
      <c r="B11" s="16" t="str">
        <f>VLOOKUP(A11,テーブル!$A$3:$C$11,2,0)</f>
        <v>Ｈ商品</v>
      </c>
      <c r="C11" s="4">
        <v>102</v>
      </c>
      <c r="D11" s="4" t="str">
        <f>VLOOKUP(C11,テーブル!$E$3:$I$6,2,0)</f>
        <v>旭ストア</v>
      </c>
      <c r="E11" s="31">
        <v>526</v>
      </c>
      <c r="F11" s="31">
        <v>482</v>
      </c>
      <c r="G11" s="32">
        <f>VLOOKUP(A11,テーブル!$A$3:$C$11,3,0)*F11</f>
        <v>378370</v>
      </c>
      <c r="H11" s="32">
        <f>ROUND(G11*VLOOKUP(C11,テーブル!$E$3:$I$6,3,0),-2)</f>
        <v>36700</v>
      </c>
      <c r="I11" s="33">
        <f t="shared" si="0"/>
        <v>0.91700000000000004</v>
      </c>
    </row>
    <row r="12" spans="1:9">
      <c r="A12" s="3">
        <v>13</v>
      </c>
      <c r="B12" s="16" t="str">
        <f>VLOOKUP(A12,テーブル!$A$3:$C$11,2,0)</f>
        <v>Ｈ商品</v>
      </c>
      <c r="C12" s="4">
        <v>103</v>
      </c>
      <c r="D12" s="4" t="str">
        <f>VLOOKUP(C12,テーブル!$E$3:$I$6,2,0)</f>
        <v>佐藤商事</v>
      </c>
      <c r="E12" s="31">
        <v>491</v>
      </c>
      <c r="F12" s="31">
        <v>445</v>
      </c>
      <c r="G12" s="32">
        <f>VLOOKUP(A12,テーブル!$A$3:$C$11,3,0)*F12</f>
        <v>349325</v>
      </c>
      <c r="H12" s="32">
        <f>ROUND(G12*VLOOKUP(C12,テーブル!$E$3:$I$6,3,0),-2)</f>
        <v>29300</v>
      </c>
      <c r="I12" s="33">
        <f t="shared" si="0"/>
        <v>0.90700000000000003</v>
      </c>
    </row>
    <row r="13" spans="1:9">
      <c r="A13" s="3">
        <v>13</v>
      </c>
      <c r="B13" s="16" t="str">
        <f>VLOOKUP(A13,テーブル!$A$3:$C$11,2,0)</f>
        <v>Ｈ商品</v>
      </c>
      <c r="C13" s="4">
        <v>104</v>
      </c>
      <c r="D13" s="4" t="str">
        <f>VLOOKUP(C13,テーブル!$E$3:$I$6,2,0)</f>
        <v>鈴木商店</v>
      </c>
      <c r="E13" s="31">
        <v>524</v>
      </c>
      <c r="F13" s="31">
        <v>484</v>
      </c>
      <c r="G13" s="32">
        <f>VLOOKUP(A13,テーブル!$A$3:$C$11,3,0)*F13</f>
        <v>379940</v>
      </c>
      <c r="H13" s="32">
        <f>ROUND(G13*VLOOKUP(C13,テーブル!$E$3:$I$6,3,0),-2)</f>
        <v>41000</v>
      </c>
      <c r="I13" s="33">
        <f t="shared" si="0"/>
        <v>0.92400000000000004</v>
      </c>
    </row>
    <row r="14" spans="1:9">
      <c r="A14" s="3">
        <v>14</v>
      </c>
      <c r="B14" s="16" t="str">
        <f>VLOOKUP(A14,テーブル!$A$3:$C$11,2,0)</f>
        <v>Ｉ商品</v>
      </c>
      <c r="C14" s="4">
        <v>101</v>
      </c>
      <c r="D14" s="4" t="str">
        <f>VLOOKUP(C14,テーブル!$E$3:$I$6,2,0)</f>
        <v>井上食品</v>
      </c>
      <c r="E14" s="31">
        <v>537</v>
      </c>
      <c r="F14" s="31">
        <v>497</v>
      </c>
      <c r="G14" s="32">
        <f>VLOOKUP(A14,テーブル!$A$3:$C$11,3,0)*F14</f>
        <v>427917</v>
      </c>
      <c r="H14" s="32">
        <f>ROUND(G14*VLOOKUP(C14,テーブル!$E$3:$I$6,3,0),-2)</f>
        <v>44100</v>
      </c>
      <c r="I14" s="33">
        <f t="shared" si="0"/>
        <v>0.92600000000000005</v>
      </c>
    </row>
    <row r="15" spans="1:9">
      <c r="A15" s="3">
        <v>14</v>
      </c>
      <c r="B15" s="16" t="str">
        <f>VLOOKUP(A15,テーブル!$A$3:$C$11,2,0)</f>
        <v>Ｉ商品</v>
      </c>
      <c r="C15" s="4">
        <v>102</v>
      </c>
      <c r="D15" s="4" t="str">
        <f>VLOOKUP(C15,テーブル!$E$3:$I$6,2,0)</f>
        <v>旭ストア</v>
      </c>
      <c r="E15" s="31">
        <v>498</v>
      </c>
      <c r="F15" s="31">
        <v>450</v>
      </c>
      <c r="G15" s="32">
        <f>VLOOKUP(A15,テーブル!$A$3:$C$11,3,0)*F15</f>
        <v>387450</v>
      </c>
      <c r="H15" s="32">
        <f>ROUND(G15*VLOOKUP(C15,テーブル!$E$3:$I$6,3,0),-2)</f>
        <v>37600</v>
      </c>
      <c r="I15" s="33">
        <f t="shared" si="0"/>
        <v>0.90400000000000003</v>
      </c>
    </row>
    <row r="16" spans="1:9">
      <c r="A16" s="3">
        <v>14</v>
      </c>
      <c r="B16" s="16" t="str">
        <f>VLOOKUP(A16,テーブル!$A$3:$C$11,2,0)</f>
        <v>Ｉ商品</v>
      </c>
      <c r="C16" s="4">
        <v>103</v>
      </c>
      <c r="D16" s="4" t="str">
        <f>VLOOKUP(C16,テーブル!$E$3:$I$6,2,0)</f>
        <v>佐藤商事</v>
      </c>
      <c r="E16" s="31">
        <v>420</v>
      </c>
      <c r="F16" s="31">
        <v>380</v>
      </c>
      <c r="G16" s="32">
        <f>VLOOKUP(A16,テーブル!$A$3:$C$11,3,0)*F16</f>
        <v>327180</v>
      </c>
      <c r="H16" s="32">
        <f>ROUND(G16*VLOOKUP(C16,テーブル!$E$3:$I$6,3,0),-2)</f>
        <v>27500</v>
      </c>
      <c r="I16" s="33">
        <f t="shared" si="0"/>
        <v>0.90500000000000003</v>
      </c>
    </row>
    <row r="17" spans="1:9">
      <c r="A17" s="3">
        <v>14</v>
      </c>
      <c r="B17" s="16" t="str">
        <f>VLOOKUP(A17,テーブル!$A$3:$C$11,2,0)</f>
        <v>Ｉ商品</v>
      </c>
      <c r="C17" s="4">
        <v>104</v>
      </c>
      <c r="D17" s="4" t="str">
        <f>VLOOKUP(C17,テーブル!$E$3:$I$6,2,0)</f>
        <v>鈴木商店</v>
      </c>
      <c r="E17" s="31">
        <v>500</v>
      </c>
      <c r="F17" s="31">
        <v>457</v>
      </c>
      <c r="G17" s="32">
        <f>VLOOKUP(A17,テーブル!$A$3:$C$11,3,0)*F17</f>
        <v>393477</v>
      </c>
      <c r="H17" s="32">
        <f>ROUND(G17*VLOOKUP(C17,テーブル!$E$3:$I$6,3,0),-2)</f>
        <v>42500</v>
      </c>
      <c r="I17" s="33">
        <f t="shared" si="0"/>
        <v>0.91400000000000003</v>
      </c>
    </row>
    <row r="18" spans="1:9">
      <c r="A18" s="3">
        <v>15</v>
      </c>
      <c r="B18" s="16" t="str">
        <f>VLOOKUP(A18,テーブル!$A$3:$C$11,2,0)</f>
        <v>Ｊ商品</v>
      </c>
      <c r="C18" s="4">
        <v>101</v>
      </c>
      <c r="D18" s="4" t="str">
        <f>VLOOKUP(C18,テーブル!$E$3:$I$6,2,0)</f>
        <v>井上食品</v>
      </c>
      <c r="E18" s="31">
        <v>564</v>
      </c>
      <c r="F18" s="31">
        <v>522</v>
      </c>
      <c r="G18" s="32">
        <f>VLOOKUP(A18,テーブル!$A$3:$C$11,3,0)*F18</f>
        <v>494334</v>
      </c>
      <c r="H18" s="32">
        <f>ROUND(G18*VLOOKUP(C18,テーブル!$E$3:$I$6,3,0),-2)</f>
        <v>50900</v>
      </c>
      <c r="I18" s="33">
        <f t="shared" si="0"/>
        <v>0.92600000000000005</v>
      </c>
    </row>
    <row r="19" spans="1:9">
      <c r="A19" s="3">
        <v>15</v>
      </c>
      <c r="B19" s="16" t="str">
        <f>VLOOKUP(A19,テーブル!$A$3:$C$11,2,0)</f>
        <v>Ｊ商品</v>
      </c>
      <c r="C19" s="4">
        <v>102</v>
      </c>
      <c r="D19" s="4" t="str">
        <f>VLOOKUP(C19,テーブル!$E$3:$I$6,2,0)</f>
        <v>旭ストア</v>
      </c>
      <c r="E19" s="31">
        <v>532</v>
      </c>
      <c r="F19" s="31">
        <v>484</v>
      </c>
      <c r="G19" s="32">
        <f>VLOOKUP(A19,テーブル!$A$3:$C$11,3,0)*F19</f>
        <v>458348</v>
      </c>
      <c r="H19" s="32">
        <f>ROUND(G19*VLOOKUP(C19,テーブル!$E$3:$I$6,3,0),-2)</f>
        <v>44500</v>
      </c>
      <c r="I19" s="33">
        <f t="shared" si="0"/>
        <v>0.91</v>
      </c>
    </row>
    <row r="20" spans="1:9">
      <c r="A20" s="3">
        <v>15</v>
      </c>
      <c r="B20" s="16" t="str">
        <f>VLOOKUP(A20,テーブル!$A$3:$C$11,2,0)</f>
        <v>Ｊ商品</v>
      </c>
      <c r="C20" s="4">
        <v>103</v>
      </c>
      <c r="D20" s="4" t="str">
        <f>VLOOKUP(C20,テーブル!$E$3:$I$6,2,0)</f>
        <v>佐藤商事</v>
      </c>
      <c r="E20" s="31">
        <v>435</v>
      </c>
      <c r="F20" s="31">
        <v>393</v>
      </c>
      <c r="G20" s="32">
        <f>VLOOKUP(A20,テーブル!$A$3:$C$11,3,0)*F20</f>
        <v>372171</v>
      </c>
      <c r="H20" s="32">
        <f>ROUND(G20*VLOOKUP(C20,テーブル!$E$3:$I$6,3,0),-2)</f>
        <v>31300</v>
      </c>
      <c r="I20" s="33">
        <f t="shared" si="0"/>
        <v>0.90400000000000003</v>
      </c>
    </row>
    <row r="21" spans="1:9">
      <c r="A21" s="3">
        <v>15</v>
      </c>
      <c r="B21" s="16" t="str">
        <f>VLOOKUP(A21,テーブル!$A$3:$C$11,2,0)</f>
        <v>Ｊ商品</v>
      </c>
      <c r="C21" s="4">
        <v>104</v>
      </c>
      <c r="D21" s="4" t="str">
        <f>VLOOKUP(C21,テーブル!$E$3:$I$6,2,0)</f>
        <v>鈴木商店</v>
      </c>
      <c r="E21" s="31">
        <v>419</v>
      </c>
      <c r="F21" s="31">
        <v>378</v>
      </c>
      <c r="G21" s="32">
        <f>VLOOKUP(A21,テーブル!$A$3:$C$11,3,0)*F21</f>
        <v>357966</v>
      </c>
      <c r="H21" s="32">
        <f>ROUND(G21*VLOOKUP(C21,テーブル!$E$3:$I$6,3,0),-2)</f>
        <v>38700</v>
      </c>
      <c r="I21" s="33">
        <f t="shared" si="0"/>
        <v>0.90300000000000002</v>
      </c>
    </row>
    <row r="22" spans="1:9">
      <c r="A22" s="3">
        <v>16</v>
      </c>
      <c r="B22" s="16" t="str">
        <f>VLOOKUP(A22,テーブル!$A$3:$C$11,2,0)</f>
        <v>Ｋ商品</v>
      </c>
      <c r="C22" s="4">
        <v>101</v>
      </c>
      <c r="D22" s="4" t="str">
        <f>VLOOKUP(C22,テーブル!$E$3:$I$6,2,0)</f>
        <v>井上食品</v>
      </c>
      <c r="E22" s="31">
        <v>520</v>
      </c>
      <c r="F22" s="31">
        <v>480</v>
      </c>
      <c r="G22" s="32">
        <f>VLOOKUP(A22,テーブル!$A$3:$C$11,3,0)*F22</f>
        <v>471360</v>
      </c>
      <c r="H22" s="32">
        <f>ROUND(G22*VLOOKUP(C22,テーブル!$E$3:$I$6,3,0),-2)</f>
        <v>48600</v>
      </c>
      <c r="I22" s="33">
        <f t="shared" si="0"/>
        <v>0.92400000000000004</v>
      </c>
    </row>
    <row r="23" spans="1:9">
      <c r="A23" s="3">
        <v>16</v>
      </c>
      <c r="B23" s="16" t="str">
        <f>VLOOKUP(A23,テーブル!$A$3:$C$11,2,0)</f>
        <v>Ｋ商品</v>
      </c>
      <c r="C23" s="4">
        <v>102</v>
      </c>
      <c r="D23" s="4" t="str">
        <f>VLOOKUP(C23,テーブル!$E$3:$I$6,2,0)</f>
        <v>旭ストア</v>
      </c>
      <c r="E23" s="31">
        <v>431</v>
      </c>
      <c r="F23" s="31">
        <v>389</v>
      </c>
      <c r="G23" s="32">
        <f>VLOOKUP(A23,テーブル!$A$3:$C$11,3,0)*F23</f>
        <v>381998</v>
      </c>
      <c r="H23" s="32">
        <f>ROUND(G23*VLOOKUP(C23,テーブル!$E$3:$I$6,3,0),-2)</f>
        <v>37100</v>
      </c>
      <c r="I23" s="33">
        <f t="shared" si="0"/>
        <v>0.90300000000000002</v>
      </c>
    </row>
    <row r="24" spans="1:9">
      <c r="A24" s="3">
        <v>16</v>
      </c>
      <c r="B24" s="16" t="str">
        <f>VLOOKUP(A24,テーブル!$A$3:$C$11,2,0)</f>
        <v>Ｋ商品</v>
      </c>
      <c r="C24" s="4">
        <v>103</v>
      </c>
      <c r="D24" s="4" t="str">
        <f>VLOOKUP(C24,テーブル!$E$3:$I$6,2,0)</f>
        <v>佐藤商事</v>
      </c>
      <c r="E24" s="31">
        <v>478</v>
      </c>
      <c r="F24" s="31">
        <v>438</v>
      </c>
      <c r="G24" s="32">
        <f>VLOOKUP(A24,テーブル!$A$3:$C$11,3,0)*F24</f>
        <v>430116</v>
      </c>
      <c r="H24" s="32">
        <f>ROUND(G24*VLOOKUP(C24,テーブル!$E$3:$I$6,3,0),-2)</f>
        <v>36100</v>
      </c>
      <c r="I24" s="33">
        <f t="shared" si="0"/>
        <v>0.91700000000000004</v>
      </c>
    </row>
    <row r="25" spans="1:9">
      <c r="A25" s="3">
        <v>16</v>
      </c>
      <c r="B25" s="16" t="str">
        <f>VLOOKUP(A25,テーブル!$A$3:$C$11,2,0)</f>
        <v>Ｋ商品</v>
      </c>
      <c r="C25" s="4">
        <v>104</v>
      </c>
      <c r="D25" s="4" t="str">
        <f>VLOOKUP(C25,テーブル!$E$3:$I$6,2,0)</f>
        <v>鈴木商店</v>
      </c>
      <c r="E25" s="31">
        <v>431</v>
      </c>
      <c r="F25" s="31">
        <v>388</v>
      </c>
      <c r="G25" s="32">
        <f>VLOOKUP(A25,テーブル!$A$3:$C$11,3,0)*F25</f>
        <v>381016</v>
      </c>
      <c r="H25" s="32">
        <f>ROUND(G25*VLOOKUP(C25,テーブル!$E$3:$I$6,3,0),-2)</f>
        <v>41100</v>
      </c>
      <c r="I25" s="33">
        <f t="shared" si="0"/>
        <v>0.90100000000000002</v>
      </c>
    </row>
    <row r="26" spans="1:9">
      <c r="A26" s="3">
        <v>17</v>
      </c>
      <c r="B26" s="16" t="str">
        <f>VLOOKUP(A26,テーブル!$A$3:$C$11,2,0)</f>
        <v>Ｌ商品</v>
      </c>
      <c r="C26" s="4">
        <v>101</v>
      </c>
      <c r="D26" s="4" t="str">
        <f>VLOOKUP(C26,テーブル!$E$3:$I$6,2,0)</f>
        <v>井上食品</v>
      </c>
      <c r="E26" s="31">
        <v>454</v>
      </c>
      <c r="F26" s="31">
        <v>410</v>
      </c>
      <c r="G26" s="32">
        <f>VLOOKUP(A26,テーブル!$A$3:$C$11,3,0)*F26</f>
        <v>424760</v>
      </c>
      <c r="H26" s="32">
        <f>ROUND(G26*VLOOKUP(C26,テーブル!$E$3:$I$6,3,0),-2)</f>
        <v>43800</v>
      </c>
      <c r="I26" s="33">
        <f t="shared" si="0"/>
        <v>0.90400000000000003</v>
      </c>
    </row>
    <row r="27" spans="1:9">
      <c r="A27" s="3">
        <v>17</v>
      </c>
      <c r="B27" s="16" t="str">
        <f>VLOOKUP(A27,テーブル!$A$3:$C$11,2,0)</f>
        <v>Ｌ商品</v>
      </c>
      <c r="C27" s="4">
        <v>102</v>
      </c>
      <c r="D27" s="4" t="str">
        <f>VLOOKUP(C27,テーブル!$E$3:$I$6,2,0)</f>
        <v>旭ストア</v>
      </c>
      <c r="E27" s="31">
        <v>439</v>
      </c>
      <c r="F27" s="31">
        <v>400</v>
      </c>
      <c r="G27" s="32">
        <f>VLOOKUP(A27,テーブル!$A$3:$C$11,3,0)*F27</f>
        <v>414400</v>
      </c>
      <c r="H27" s="32">
        <f>ROUND(G27*VLOOKUP(C27,テーブル!$E$3:$I$6,3,0),-2)</f>
        <v>40200</v>
      </c>
      <c r="I27" s="33">
        <f t="shared" si="0"/>
        <v>0.91200000000000003</v>
      </c>
    </row>
    <row r="28" spans="1:9">
      <c r="A28" s="3">
        <v>17</v>
      </c>
      <c r="B28" s="16" t="str">
        <f>VLOOKUP(A28,テーブル!$A$3:$C$11,2,0)</f>
        <v>Ｌ商品</v>
      </c>
      <c r="C28" s="4">
        <v>103</v>
      </c>
      <c r="D28" s="4" t="str">
        <f>VLOOKUP(C28,テーブル!$E$3:$I$6,2,0)</f>
        <v>佐藤商事</v>
      </c>
      <c r="E28" s="31">
        <v>527</v>
      </c>
      <c r="F28" s="31">
        <v>480</v>
      </c>
      <c r="G28" s="32">
        <f>VLOOKUP(A28,テーブル!$A$3:$C$11,3,0)*F28</f>
        <v>497280</v>
      </c>
      <c r="H28" s="32">
        <f>ROUND(G28*VLOOKUP(C28,テーブル!$E$3:$I$6,3,0),-2)</f>
        <v>41800</v>
      </c>
      <c r="I28" s="33">
        <f t="shared" si="0"/>
        <v>0.91100000000000003</v>
      </c>
    </row>
    <row r="29" spans="1:9">
      <c r="A29" s="34">
        <v>17</v>
      </c>
      <c r="B29" s="16" t="str">
        <f>VLOOKUP(A29,テーブル!$A$3:$C$11,2,0)</f>
        <v>Ｌ商品</v>
      </c>
      <c r="C29" s="4">
        <v>104</v>
      </c>
      <c r="D29" s="4" t="str">
        <f>VLOOKUP(C29,テーブル!$E$3:$I$6,2,0)</f>
        <v>鈴木商店</v>
      </c>
      <c r="E29" s="31">
        <v>517</v>
      </c>
      <c r="F29" s="31">
        <v>467</v>
      </c>
      <c r="G29" s="32">
        <f>VLOOKUP(A29,テーブル!$A$3:$C$11,3,0)*F29</f>
        <v>483812</v>
      </c>
      <c r="H29" s="32">
        <f>ROUND(G29*VLOOKUP(C29,テーブル!$E$3:$I$6,3,0),-2)</f>
        <v>52300</v>
      </c>
      <c r="I29" s="33">
        <f t="shared" si="0"/>
        <v>0.90400000000000003</v>
      </c>
    </row>
    <row r="30" spans="1:9">
      <c r="A30" s="34">
        <v>18</v>
      </c>
      <c r="B30" s="16" t="str">
        <f>VLOOKUP(A30,テーブル!$A$3:$C$11,2,0)</f>
        <v>Ｍ商品</v>
      </c>
      <c r="C30" s="4">
        <v>101</v>
      </c>
      <c r="D30" s="4" t="str">
        <f>VLOOKUP(C30,テーブル!$E$3:$I$6,2,0)</f>
        <v>井上食品</v>
      </c>
      <c r="E30" s="31">
        <v>516</v>
      </c>
      <c r="F30" s="31">
        <v>467</v>
      </c>
      <c r="G30" s="32">
        <f>VLOOKUP(A30,テーブル!$A$3:$C$11,3,0)*F30</f>
        <v>494553</v>
      </c>
      <c r="H30" s="32">
        <f>ROUND(G30*VLOOKUP(C30,テーブル!$E$3:$I$6,3,0),-2)</f>
        <v>50900</v>
      </c>
      <c r="I30" s="33">
        <f t="shared" si="0"/>
        <v>0.90600000000000003</v>
      </c>
    </row>
    <row r="31" spans="1:9">
      <c r="A31" s="34">
        <v>18</v>
      </c>
      <c r="B31" s="16" t="str">
        <f>VLOOKUP(A31,テーブル!$A$3:$C$11,2,0)</f>
        <v>Ｍ商品</v>
      </c>
      <c r="C31" s="4">
        <v>102</v>
      </c>
      <c r="D31" s="4" t="str">
        <f>VLOOKUP(C31,テーブル!$E$3:$I$6,2,0)</f>
        <v>旭ストア</v>
      </c>
      <c r="E31" s="31">
        <v>568</v>
      </c>
      <c r="F31" s="31">
        <v>524</v>
      </c>
      <c r="G31" s="32">
        <f>VLOOKUP(A31,テーブル!$A$3:$C$11,3,0)*F31</f>
        <v>554916</v>
      </c>
      <c r="H31" s="32">
        <f>ROUND(G31*VLOOKUP(C31,テーブル!$E$3:$I$6,3,0),-2)</f>
        <v>53800</v>
      </c>
      <c r="I31" s="33">
        <f t="shared" si="0"/>
        <v>0.92300000000000004</v>
      </c>
    </row>
    <row r="32" spans="1:9">
      <c r="A32" s="34">
        <v>18</v>
      </c>
      <c r="B32" s="16" t="str">
        <f>VLOOKUP(A32,テーブル!$A$3:$C$11,2,0)</f>
        <v>Ｍ商品</v>
      </c>
      <c r="C32" s="4">
        <v>103</v>
      </c>
      <c r="D32" s="4" t="str">
        <f>VLOOKUP(C32,テーブル!$E$3:$I$6,2,0)</f>
        <v>佐藤商事</v>
      </c>
      <c r="E32" s="31">
        <v>440</v>
      </c>
      <c r="F32" s="31">
        <v>396</v>
      </c>
      <c r="G32" s="32">
        <f>VLOOKUP(A32,テーブル!$A$3:$C$11,3,0)*F32</f>
        <v>419364</v>
      </c>
      <c r="H32" s="32">
        <f>ROUND(G32*VLOOKUP(C32,テーブル!$E$3:$I$6,3,0),-2)</f>
        <v>35200</v>
      </c>
      <c r="I32" s="33">
        <f t="shared" si="0"/>
        <v>0.9</v>
      </c>
    </row>
    <row r="33" spans="1:9">
      <c r="A33" s="34">
        <v>18</v>
      </c>
      <c r="B33" s="16" t="str">
        <f>VLOOKUP(A33,テーブル!$A$3:$C$11,2,0)</f>
        <v>Ｍ商品</v>
      </c>
      <c r="C33" s="4">
        <v>104</v>
      </c>
      <c r="D33" s="4" t="str">
        <f>VLOOKUP(C33,テーブル!$E$3:$I$6,2,0)</f>
        <v>鈴木商店</v>
      </c>
      <c r="E33" s="31">
        <v>448</v>
      </c>
      <c r="F33" s="31">
        <v>404</v>
      </c>
      <c r="G33" s="32">
        <f>VLOOKUP(A33,テーブル!$A$3:$C$11,3,0)*F33</f>
        <v>427836</v>
      </c>
      <c r="H33" s="32">
        <f>ROUND(G33*VLOOKUP(C33,テーブル!$E$3:$I$6,3,0),-2)</f>
        <v>46200</v>
      </c>
      <c r="I33" s="33">
        <f t="shared" si="0"/>
        <v>0.90200000000000002</v>
      </c>
    </row>
    <row r="34" spans="1:9">
      <c r="A34" s="34">
        <v>19</v>
      </c>
      <c r="B34" s="16" t="str">
        <f>VLOOKUP(A34,テーブル!$A$3:$C$11,2,0)</f>
        <v>Ｎ商品</v>
      </c>
      <c r="C34" s="4">
        <v>101</v>
      </c>
      <c r="D34" s="4" t="str">
        <f>VLOOKUP(C34,テーブル!$E$3:$I$6,2,0)</f>
        <v>井上食品</v>
      </c>
      <c r="E34" s="31">
        <v>512</v>
      </c>
      <c r="F34" s="31">
        <v>463</v>
      </c>
      <c r="G34" s="32">
        <f>VLOOKUP(A34,テーブル!$A$3:$C$11,3,0)*F34</f>
        <v>496799</v>
      </c>
      <c r="H34" s="32">
        <f>ROUND(G34*VLOOKUP(C34,テーブル!$E$3:$I$6,3,0),-2)</f>
        <v>51200</v>
      </c>
      <c r="I34" s="33">
        <f t="shared" si="0"/>
        <v>0.90500000000000003</v>
      </c>
    </row>
    <row r="35" spans="1:9">
      <c r="A35" s="34">
        <v>19</v>
      </c>
      <c r="B35" s="16" t="str">
        <f>VLOOKUP(A35,テーブル!$A$3:$C$11,2,0)</f>
        <v>Ｎ商品</v>
      </c>
      <c r="C35" s="4">
        <v>102</v>
      </c>
      <c r="D35" s="4" t="str">
        <f>VLOOKUP(C35,テーブル!$E$3:$I$6,2,0)</f>
        <v>旭ストア</v>
      </c>
      <c r="E35" s="31">
        <v>429</v>
      </c>
      <c r="F35" s="31">
        <v>391</v>
      </c>
      <c r="G35" s="32">
        <f>VLOOKUP(A35,テーブル!$A$3:$C$11,3,0)*F35</f>
        <v>419543</v>
      </c>
      <c r="H35" s="32">
        <f>ROUND(G35*VLOOKUP(C35,テーブル!$E$3:$I$6,3,0),-2)</f>
        <v>40700</v>
      </c>
      <c r="I35" s="33">
        <f t="shared" si="0"/>
        <v>0.91200000000000003</v>
      </c>
    </row>
    <row r="36" spans="1:9">
      <c r="A36" s="34">
        <v>19</v>
      </c>
      <c r="B36" s="16" t="str">
        <f>VLOOKUP(A36,テーブル!$A$3:$C$11,2,0)</f>
        <v>Ｎ商品</v>
      </c>
      <c r="C36" s="4">
        <v>103</v>
      </c>
      <c r="D36" s="4" t="str">
        <f>VLOOKUP(C36,テーブル!$E$3:$I$6,2,0)</f>
        <v>佐藤商事</v>
      </c>
      <c r="E36" s="31">
        <v>445</v>
      </c>
      <c r="F36" s="31">
        <v>401</v>
      </c>
      <c r="G36" s="32">
        <f>VLOOKUP(A36,テーブル!$A$3:$C$11,3,0)*F36</f>
        <v>430273</v>
      </c>
      <c r="H36" s="32">
        <f>ROUND(G36*VLOOKUP(C36,テーブル!$E$3:$I$6,3,0),-2)</f>
        <v>36100</v>
      </c>
      <c r="I36" s="33">
        <f t="shared" si="0"/>
        <v>0.90200000000000002</v>
      </c>
    </row>
    <row r="37" spans="1:9">
      <c r="A37" s="34">
        <v>19</v>
      </c>
      <c r="B37" s="16" t="str">
        <f>VLOOKUP(A37,テーブル!$A$3:$C$11,2,0)</f>
        <v>Ｎ商品</v>
      </c>
      <c r="C37" s="4">
        <v>104</v>
      </c>
      <c r="D37" s="4" t="str">
        <f>VLOOKUP(C37,テーブル!$E$3:$I$6,2,0)</f>
        <v>鈴木商店</v>
      </c>
      <c r="E37" s="31">
        <v>558</v>
      </c>
      <c r="F37" s="31">
        <v>509</v>
      </c>
      <c r="G37" s="32">
        <f>VLOOKUP(A37,テーブル!$A$3:$C$11,3,0)*F37</f>
        <v>546157</v>
      </c>
      <c r="H37" s="32">
        <f>ROUND(G37*VLOOKUP(C37,テーブル!$E$3:$I$6,3,0),-2)</f>
        <v>59000</v>
      </c>
      <c r="I37" s="33">
        <f t="shared" si="0"/>
        <v>0.91300000000000003</v>
      </c>
    </row>
    <row r="38" spans="1:9">
      <c r="A38" s="34"/>
      <c r="B38" s="35"/>
      <c r="C38" s="35"/>
      <c r="D38" s="35"/>
      <c r="E38" s="35"/>
      <c r="F38" s="35"/>
      <c r="G38" s="35"/>
      <c r="H38" s="35"/>
      <c r="I38" s="36"/>
    </row>
    <row r="39" spans="1:9" ht="14.25" thickBot="1">
      <c r="A39" s="37"/>
      <c r="B39" s="38" t="s">
        <v>13</v>
      </c>
      <c r="C39" s="17"/>
      <c r="D39" s="39"/>
      <c r="E39" s="40">
        <f>SUM(E2:E37)</f>
        <v>17472</v>
      </c>
      <c r="F39" s="40">
        <f t="shared" ref="F39:H39" si="1">SUM(F2:F37)</f>
        <v>15924</v>
      </c>
      <c r="G39" s="40">
        <f t="shared" si="1"/>
        <v>14225119</v>
      </c>
      <c r="H39" s="40">
        <f t="shared" si="1"/>
        <v>1398300</v>
      </c>
      <c r="I39" s="4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zoomScaleNormal="100" workbookViewId="0"/>
  </sheetViews>
  <sheetFormatPr defaultRowHeight="13.5"/>
  <cols>
    <col min="1" max="3" width="7.5" style="1" bestFit="1" customWidth="1"/>
    <col min="4" max="4" width="9.5" style="1" bestFit="1" customWidth="1"/>
    <col min="5" max="6" width="7.5" style="1" customWidth="1"/>
    <col min="7" max="7" width="11.625" style="1" bestFit="1" customWidth="1"/>
    <col min="8" max="8" width="10.5" style="1" bestFit="1" customWidth="1"/>
    <col min="9" max="9" width="7.5" style="1" bestFit="1" customWidth="1"/>
    <col min="10" max="16384" width="9" style="1"/>
  </cols>
  <sheetData>
    <row r="1" spans="1:9">
      <c r="A1" s="12" t="s">
        <v>14</v>
      </c>
      <c r="B1" s="30" t="s">
        <v>10</v>
      </c>
      <c r="C1" s="30" t="s">
        <v>15</v>
      </c>
      <c r="D1" s="30" t="s">
        <v>2</v>
      </c>
      <c r="E1" s="30" t="s">
        <v>3</v>
      </c>
      <c r="F1" s="30" t="s">
        <v>4</v>
      </c>
      <c r="G1" s="30" t="s">
        <v>5</v>
      </c>
      <c r="H1" s="30" t="s">
        <v>6</v>
      </c>
      <c r="I1" s="13" t="s">
        <v>20</v>
      </c>
    </row>
    <row r="2" spans="1:9">
      <c r="A2" s="3">
        <v>11</v>
      </c>
      <c r="B2" s="16" t="str">
        <f>VLOOKUP(A2,テーブル!$A$3:$C$11,2,0)</f>
        <v>Ｆ商品</v>
      </c>
      <c r="C2" s="4">
        <v>101</v>
      </c>
      <c r="D2" s="4" t="str">
        <f>VLOOKUP(C2,テーブル!$E$3:$I$6,2,0)</f>
        <v>井上食品</v>
      </c>
      <c r="E2" s="31">
        <v>537</v>
      </c>
      <c r="F2" s="31">
        <v>491</v>
      </c>
      <c r="G2" s="32">
        <f>VLOOKUP(A2,テーブル!$A$3:$C$11,3,0)*F2</f>
        <v>306384</v>
      </c>
      <c r="H2" s="32">
        <f>ROUND(G2*VLOOKUP(C2,テーブル!$E$3:$I$6,3,0),-2)</f>
        <v>31600</v>
      </c>
      <c r="I2" s="33">
        <f>ROUNDUP(F2/E2,3)</f>
        <v>0.91500000000000004</v>
      </c>
    </row>
    <row r="3" spans="1:9">
      <c r="A3" s="3">
        <v>11</v>
      </c>
      <c r="B3" s="16" t="str">
        <f>VLOOKUP(A3,テーブル!$A$3:$C$11,2,0)</f>
        <v>Ｆ商品</v>
      </c>
      <c r="C3" s="4">
        <v>102</v>
      </c>
      <c r="D3" s="4" t="str">
        <f>VLOOKUP(C3,テーブル!$E$3:$I$6,2,0)</f>
        <v>旭ストア</v>
      </c>
      <c r="E3" s="31">
        <v>422</v>
      </c>
      <c r="F3" s="31">
        <v>382</v>
      </c>
      <c r="G3" s="32">
        <f>VLOOKUP(A3,テーブル!$A$3:$C$11,3,0)*F3</f>
        <v>238368</v>
      </c>
      <c r="H3" s="32">
        <f>ROUND(G3*VLOOKUP(C3,テーブル!$E$3:$I$6,3,0),-2)</f>
        <v>23100</v>
      </c>
      <c r="I3" s="33">
        <f t="shared" ref="I3:I37" si="0">ROUNDUP(F3/E3,3)</f>
        <v>0.90600000000000003</v>
      </c>
    </row>
    <row r="4" spans="1:9">
      <c r="A4" s="3">
        <v>11</v>
      </c>
      <c r="B4" s="16" t="str">
        <f>VLOOKUP(A4,テーブル!$A$3:$C$11,2,0)</f>
        <v>Ｆ商品</v>
      </c>
      <c r="C4" s="4">
        <v>103</v>
      </c>
      <c r="D4" s="4" t="str">
        <f>VLOOKUP(C4,テーブル!$E$3:$I$6,2,0)</f>
        <v>佐藤商事</v>
      </c>
      <c r="E4" s="31">
        <v>433</v>
      </c>
      <c r="F4" s="31">
        <v>389</v>
      </c>
      <c r="G4" s="32">
        <f>VLOOKUP(A4,テーブル!$A$3:$C$11,3,0)*F4</f>
        <v>242736</v>
      </c>
      <c r="H4" s="32">
        <f>ROUND(G4*VLOOKUP(C4,テーブル!$E$3:$I$6,3,0),-2)</f>
        <v>20400</v>
      </c>
      <c r="I4" s="33">
        <f t="shared" si="0"/>
        <v>0.89900000000000002</v>
      </c>
    </row>
    <row r="5" spans="1:9">
      <c r="A5" s="3">
        <v>11</v>
      </c>
      <c r="B5" s="16" t="str">
        <f>VLOOKUP(A5,テーブル!$A$3:$C$11,2,0)</f>
        <v>Ｆ商品</v>
      </c>
      <c r="C5" s="4">
        <v>104</v>
      </c>
      <c r="D5" s="4" t="str">
        <f>VLOOKUP(C5,テーブル!$E$3:$I$6,2,0)</f>
        <v>鈴木商店</v>
      </c>
      <c r="E5" s="31">
        <v>491</v>
      </c>
      <c r="F5" s="31">
        <v>441</v>
      </c>
      <c r="G5" s="32">
        <f>VLOOKUP(A5,テーブル!$A$3:$C$11,3,0)*F5</f>
        <v>275184</v>
      </c>
      <c r="H5" s="32">
        <f>ROUND(G5*VLOOKUP(C5,テーブル!$E$3:$I$6,3,0),-2)</f>
        <v>29700</v>
      </c>
      <c r="I5" s="33">
        <f t="shared" si="0"/>
        <v>0.89900000000000002</v>
      </c>
    </row>
    <row r="6" spans="1:9">
      <c r="A6" s="3">
        <v>12</v>
      </c>
      <c r="B6" s="16" t="str">
        <f>VLOOKUP(A6,テーブル!$A$3:$C$11,2,0)</f>
        <v>Ｇ商品</v>
      </c>
      <c r="C6" s="4">
        <v>101</v>
      </c>
      <c r="D6" s="4" t="str">
        <f>VLOOKUP(C6,テーブル!$E$3:$I$6,2,0)</f>
        <v>井上食品</v>
      </c>
      <c r="E6" s="31">
        <v>500</v>
      </c>
      <c r="F6" s="31">
        <v>462</v>
      </c>
      <c r="G6" s="32">
        <f>VLOOKUP(A6,テーブル!$A$3:$C$11,3,0)*F6</f>
        <v>310926</v>
      </c>
      <c r="H6" s="32">
        <f>ROUND(G6*VLOOKUP(C6,テーブル!$E$3:$I$6,3,0),-2)</f>
        <v>32000</v>
      </c>
      <c r="I6" s="33">
        <f t="shared" si="0"/>
        <v>0.92400000000000004</v>
      </c>
    </row>
    <row r="7" spans="1:9">
      <c r="A7" s="3">
        <v>12</v>
      </c>
      <c r="B7" s="16" t="str">
        <f>VLOOKUP(A7,テーブル!$A$3:$C$11,2,0)</f>
        <v>Ｇ商品</v>
      </c>
      <c r="C7" s="4">
        <v>102</v>
      </c>
      <c r="D7" s="4" t="str">
        <f>VLOOKUP(C7,テーブル!$E$3:$I$6,2,0)</f>
        <v>旭ストア</v>
      </c>
      <c r="E7" s="31">
        <v>486</v>
      </c>
      <c r="F7" s="31">
        <v>444</v>
      </c>
      <c r="G7" s="32">
        <f>VLOOKUP(A7,テーブル!$A$3:$C$11,3,0)*F7</f>
        <v>298812</v>
      </c>
      <c r="H7" s="32">
        <f>ROUND(G7*VLOOKUP(C7,テーブル!$E$3:$I$6,3,0),-2)</f>
        <v>29000</v>
      </c>
      <c r="I7" s="33">
        <f t="shared" si="0"/>
        <v>0.91400000000000003</v>
      </c>
    </row>
    <row r="8" spans="1:9">
      <c r="A8" s="3">
        <v>12</v>
      </c>
      <c r="B8" s="16" t="str">
        <f>VLOOKUP(A8,テーブル!$A$3:$C$11,2,0)</f>
        <v>Ｇ商品</v>
      </c>
      <c r="C8" s="4">
        <v>103</v>
      </c>
      <c r="D8" s="4" t="str">
        <f>VLOOKUP(C8,テーブル!$E$3:$I$6,2,0)</f>
        <v>佐藤商事</v>
      </c>
      <c r="E8" s="31">
        <v>490</v>
      </c>
      <c r="F8" s="31">
        <v>442</v>
      </c>
      <c r="G8" s="32">
        <f>VLOOKUP(A8,テーブル!$A$3:$C$11,3,0)*F8</f>
        <v>297466</v>
      </c>
      <c r="H8" s="32">
        <f>ROUND(G8*VLOOKUP(C8,テーブル!$E$3:$I$6,3,0),-2)</f>
        <v>25000</v>
      </c>
      <c r="I8" s="33">
        <f t="shared" si="0"/>
        <v>0.90300000000000002</v>
      </c>
    </row>
    <row r="9" spans="1:9">
      <c r="A9" s="3">
        <v>12</v>
      </c>
      <c r="B9" s="16" t="str">
        <f>VLOOKUP(A9,テーブル!$A$3:$C$11,2,0)</f>
        <v>Ｇ商品</v>
      </c>
      <c r="C9" s="4">
        <v>104</v>
      </c>
      <c r="D9" s="4" t="str">
        <f>VLOOKUP(C9,テーブル!$E$3:$I$6,2,0)</f>
        <v>鈴木商店</v>
      </c>
      <c r="E9" s="31">
        <v>533</v>
      </c>
      <c r="F9" s="31">
        <v>486</v>
      </c>
      <c r="G9" s="32">
        <f>VLOOKUP(A9,テーブル!$A$3:$C$11,3,0)*F9</f>
        <v>327078</v>
      </c>
      <c r="H9" s="32">
        <f>ROUND(G9*VLOOKUP(C9,テーブル!$E$3:$I$6,3,0),-2)</f>
        <v>35300</v>
      </c>
      <c r="I9" s="33">
        <f t="shared" si="0"/>
        <v>0.91200000000000003</v>
      </c>
    </row>
    <row r="10" spans="1:9">
      <c r="A10" s="3">
        <v>13</v>
      </c>
      <c r="B10" s="16" t="str">
        <f>VLOOKUP(A10,テーブル!$A$3:$C$11,2,0)</f>
        <v>Ｈ商品</v>
      </c>
      <c r="C10" s="4">
        <v>101</v>
      </c>
      <c r="D10" s="4" t="str">
        <f>VLOOKUP(C10,テーブル!$E$3:$I$6,2,0)</f>
        <v>井上食品</v>
      </c>
      <c r="E10" s="31">
        <v>561</v>
      </c>
      <c r="F10" s="31">
        <v>519</v>
      </c>
      <c r="G10" s="32">
        <f>VLOOKUP(A10,テーブル!$A$3:$C$11,3,0)*F10</f>
        <v>407415</v>
      </c>
      <c r="H10" s="32">
        <f>ROUND(G10*VLOOKUP(C10,テーブル!$E$3:$I$6,3,0),-2)</f>
        <v>42000</v>
      </c>
      <c r="I10" s="33">
        <f t="shared" si="0"/>
        <v>0.92600000000000005</v>
      </c>
    </row>
    <row r="11" spans="1:9">
      <c r="A11" s="3">
        <v>13</v>
      </c>
      <c r="B11" s="16" t="str">
        <f>VLOOKUP(A11,テーブル!$A$3:$C$11,2,0)</f>
        <v>Ｈ商品</v>
      </c>
      <c r="C11" s="4">
        <v>102</v>
      </c>
      <c r="D11" s="4" t="str">
        <f>VLOOKUP(C11,テーブル!$E$3:$I$6,2,0)</f>
        <v>旭ストア</v>
      </c>
      <c r="E11" s="31">
        <v>565</v>
      </c>
      <c r="F11" s="31">
        <v>523</v>
      </c>
      <c r="G11" s="32">
        <f>VLOOKUP(A11,テーブル!$A$3:$C$11,3,0)*F11</f>
        <v>410555</v>
      </c>
      <c r="H11" s="32">
        <f>ROUND(G11*VLOOKUP(C11,テーブル!$E$3:$I$6,3,0),-2)</f>
        <v>39800</v>
      </c>
      <c r="I11" s="33">
        <f t="shared" si="0"/>
        <v>0.92600000000000005</v>
      </c>
    </row>
    <row r="12" spans="1:9">
      <c r="A12" s="3">
        <v>13</v>
      </c>
      <c r="B12" s="16" t="str">
        <f>VLOOKUP(A12,テーブル!$A$3:$C$11,2,0)</f>
        <v>Ｈ商品</v>
      </c>
      <c r="C12" s="4">
        <v>103</v>
      </c>
      <c r="D12" s="4" t="str">
        <f>VLOOKUP(C12,テーブル!$E$3:$I$6,2,0)</f>
        <v>佐藤商事</v>
      </c>
      <c r="E12" s="31">
        <v>564</v>
      </c>
      <c r="F12" s="31">
        <v>518</v>
      </c>
      <c r="G12" s="32">
        <f>VLOOKUP(A12,テーブル!$A$3:$C$11,3,0)*F12</f>
        <v>406630</v>
      </c>
      <c r="H12" s="32">
        <f>ROUND(G12*VLOOKUP(C12,テーブル!$E$3:$I$6,3,0),-2)</f>
        <v>34200</v>
      </c>
      <c r="I12" s="33">
        <f t="shared" si="0"/>
        <v>0.91900000000000004</v>
      </c>
    </row>
    <row r="13" spans="1:9">
      <c r="A13" s="3">
        <v>13</v>
      </c>
      <c r="B13" s="16" t="str">
        <f>VLOOKUP(A13,テーブル!$A$3:$C$11,2,0)</f>
        <v>Ｈ商品</v>
      </c>
      <c r="C13" s="4">
        <v>104</v>
      </c>
      <c r="D13" s="4" t="str">
        <f>VLOOKUP(C13,テーブル!$E$3:$I$6,2,0)</f>
        <v>鈴木商店</v>
      </c>
      <c r="E13" s="31">
        <v>426</v>
      </c>
      <c r="F13" s="31">
        <v>384</v>
      </c>
      <c r="G13" s="32">
        <f>VLOOKUP(A13,テーブル!$A$3:$C$11,3,0)*F13</f>
        <v>301440</v>
      </c>
      <c r="H13" s="32">
        <f>ROUND(G13*VLOOKUP(C13,テーブル!$E$3:$I$6,3,0),-2)</f>
        <v>32600</v>
      </c>
      <c r="I13" s="33">
        <f t="shared" si="0"/>
        <v>0.90200000000000002</v>
      </c>
    </row>
    <row r="14" spans="1:9">
      <c r="A14" s="3">
        <v>14</v>
      </c>
      <c r="B14" s="16" t="str">
        <f>VLOOKUP(A14,テーブル!$A$3:$C$11,2,0)</f>
        <v>Ｉ商品</v>
      </c>
      <c r="C14" s="4">
        <v>101</v>
      </c>
      <c r="D14" s="4" t="str">
        <f>VLOOKUP(C14,テーブル!$E$3:$I$6,2,0)</f>
        <v>井上食品</v>
      </c>
      <c r="E14" s="31">
        <v>562</v>
      </c>
      <c r="F14" s="31">
        <v>518</v>
      </c>
      <c r="G14" s="32">
        <f>VLOOKUP(A14,テーブル!$A$3:$C$11,3,0)*F14</f>
        <v>445998</v>
      </c>
      <c r="H14" s="32">
        <f>ROUND(G14*VLOOKUP(C14,テーブル!$E$3:$I$6,3,0),-2)</f>
        <v>45900</v>
      </c>
      <c r="I14" s="33">
        <f t="shared" si="0"/>
        <v>0.92200000000000004</v>
      </c>
    </row>
    <row r="15" spans="1:9">
      <c r="A15" s="3">
        <v>14</v>
      </c>
      <c r="B15" s="16" t="str">
        <f>VLOOKUP(A15,テーブル!$A$3:$C$11,2,0)</f>
        <v>Ｉ商品</v>
      </c>
      <c r="C15" s="4">
        <v>102</v>
      </c>
      <c r="D15" s="4" t="str">
        <f>VLOOKUP(C15,テーブル!$E$3:$I$6,2,0)</f>
        <v>旭ストア</v>
      </c>
      <c r="E15" s="31">
        <v>469</v>
      </c>
      <c r="F15" s="31">
        <v>427</v>
      </c>
      <c r="G15" s="32">
        <f>VLOOKUP(A15,テーブル!$A$3:$C$11,3,0)*F15</f>
        <v>367647</v>
      </c>
      <c r="H15" s="32">
        <f>ROUND(G15*VLOOKUP(C15,テーブル!$E$3:$I$6,3,0),-2)</f>
        <v>35700</v>
      </c>
      <c r="I15" s="33">
        <f t="shared" si="0"/>
        <v>0.91100000000000003</v>
      </c>
    </row>
    <row r="16" spans="1:9">
      <c r="A16" s="3">
        <v>14</v>
      </c>
      <c r="B16" s="16" t="str">
        <f>VLOOKUP(A16,テーブル!$A$3:$C$11,2,0)</f>
        <v>Ｉ商品</v>
      </c>
      <c r="C16" s="4">
        <v>103</v>
      </c>
      <c r="D16" s="4" t="str">
        <f>VLOOKUP(C16,テーブル!$E$3:$I$6,2,0)</f>
        <v>佐藤商事</v>
      </c>
      <c r="E16" s="31">
        <v>550</v>
      </c>
      <c r="F16" s="31">
        <v>503</v>
      </c>
      <c r="G16" s="32">
        <f>VLOOKUP(A16,テーブル!$A$3:$C$11,3,0)*F16</f>
        <v>433083</v>
      </c>
      <c r="H16" s="32">
        <f>ROUND(G16*VLOOKUP(C16,テーブル!$E$3:$I$6,3,0),-2)</f>
        <v>36400</v>
      </c>
      <c r="I16" s="33">
        <f t="shared" si="0"/>
        <v>0.91500000000000004</v>
      </c>
    </row>
    <row r="17" spans="1:9">
      <c r="A17" s="3">
        <v>14</v>
      </c>
      <c r="B17" s="16" t="str">
        <f>VLOOKUP(A17,テーブル!$A$3:$C$11,2,0)</f>
        <v>Ｉ商品</v>
      </c>
      <c r="C17" s="4">
        <v>104</v>
      </c>
      <c r="D17" s="4" t="str">
        <f>VLOOKUP(C17,テーブル!$E$3:$I$6,2,0)</f>
        <v>鈴木商店</v>
      </c>
      <c r="E17" s="31">
        <v>494</v>
      </c>
      <c r="F17" s="31">
        <v>447</v>
      </c>
      <c r="G17" s="32">
        <f>VLOOKUP(A17,テーブル!$A$3:$C$11,3,0)*F17</f>
        <v>384867</v>
      </c>
      <c r="H17" s="32">
        <f>ROUND(G17*VLOOKUP(C17,テーブル!$E$3:$I$6,3,0),-2)</f>
        <v>41600</v>
      </c>
      <c r="I17" s="33">
        <f t="shared" si="0"/>
        <v>0.90500000000000003</v>
      </c>
    </row>
    <row r="18" spans="1:9">
      <c r="A18" s="3">
        <v>15</v>
      </c>
      <c r="B18" s="16" t="str">
        <f>VLOOKUP(A18,テーブル!$A$3:$C$11,2,0)</f>
        <v>Ｊ商品</v>
      </c>
      <c r="C18" s="4">
        <v>101</v>
      </c>
      <c r="D18" s="4" t="str">
        <f>VLOOKUP(C18,テーブル!$E$3:$I$6,2,0)</f>
        <v>井上食品</v>
      </c>
      <c r="E18" s="31">
        <v>454</v>
      </c>
      <c r="F18" s="31">
        <v>410</v>
      </c>
      <c r="G18" s="32">
        <f>VLOOKUP(A18,テーブル!$A$3:$C$11,3,0)*F18</f>
        <v>388270</v>
      </c>
      <c r="H18" s="32">
        <f>ROUND(G18*VLOOKUP(C18,テーブル!$E$3:$I$6,3,0),-2)</f>
        <v>40000</v>
      </c>
      <c r="I18" s="33">
        <f t="shared" si="0"/>
        <v>0.90400000000000003</v>
      </c>
    </row>
    <row r="19" spans="1:9">
      <c r="A19" s="3">
        <v>15</v>
      </c>
      <c r="B19" s="16" t="str">
        <f>VLOOKUP(A19,テーブル!$A$3:$C$11,2,0)</f>
        <v>Ｊ商品</v>
      </c>
      <c r="C19" s="4">
        <v>102</v>
      </c>
      <c r="D19" s="4" t="str">
        <f>VLOOKUP(C19,テーブル!$E$3:$I$6,2,0)</f>
        <v>旭ストア</v>
      </c>
      <c r="E19" s="31">
        <v>545</v>
      </c>
      <c r="F19" s="31">
        <v>505</v>
      </c>
      <c r="G19" s="32">
        <f>VLOOKUP(A19,テーブル!$A$3:$C$11,3,0)*F19</f>
        <v>478235</v>
      </c>
      <c r="H19" s="32">
        <f>ROUND(G19*VLOOKUP(C19,テーブル!$E$3:$I$6,3,0),-2)</f>
        <v>46400</v>
      </c>
      <c r="I19" s="33">
        <f t="shared" si="0"/>
        <v>0.92700000000000005</v>
      </c>
    </row>
    <row r="20" spans="1:9">
      <c r="A20" s="3">
        <v>15</v>
      </c>
      <c r="B20" s="16" t="str">
        <f>VLOOKUP(A20,テーブル!$A$3:$C$11,2,0)</f>
        <v>Ｊ商品</v>
      </c>
      <c r="C20" s="4">
        <v>103</v>
      </c>
      <c r="D20" s="4" t="str">
        <f>VLOOKUP(C20,テーブル!$E$3:$I$6,2,0)</f>
        <v>佐藤商事</v>
      </c>
      <c r="E20" s="31">
        <v>487</v>
      </c>
      <c r="F20" s="31">
        <v>444</v>
      </c>
      <c r="G20" s="32">
        <f>VLOOKUP(A20,テーブル!$A$3:$C$11,3,0)*F20</f>
        <v>420468</v>
      </c>
      <c r="H20" s="32">
        <f>ROUND(G20*VLOOKUP(C20,テーブル!$E$3:$I$6,3,0),-2)</f>
        <v>35300</v>
      </c>
      <c r="I20" s="33">
        <f t="shared" si="0"/>
        <v>0.91200000000000003</v>
      </c>
    </row>
    <row r="21" spans="1:9">
      <c r="A21" s="3">
        <v>15</v>
      </c>
      <c r="B21" s="16" t="str">
        <f>VLOOKUP(A21,テーブル!$A$3:$C$11,2,0)</f>
        <v>Ｊ商品</v>
      </c>
      <c r="C21" s="4">
        <v>104</v>
      </c>
      <c r="D21" s="4" t="str">
        <f>VLOOKUP(C21,テーブル!$E$3:$I$6,2,0)</f>
        <v>鈴木商店</v>
      </c>
      <c r="E21" s="31">
        <v>422</v>
      </c>
      <c r="F21" s="31">
        <v>381</v>
      </c>
      <c r="G21" s="32">
        <f>VLOOKUP(A21,テーブル!$A$3:$C$11,3,0)*F21</f>
        <v>360807</v>
      </c>
      <c r="H21" s="32">
        <f>ROUND(G21*VLOOKUP(C21,テーブル!$E$3:$I$6,3,0),-2)</f>
        <v>39000</v>
      </c>
      <c r="I21" s="33">
        <f t="shared" si="0"/>
        <v>0.90300000000000002</v>
      </c>
    </row>
    <row r="22" spans="1:9">
      <c r="A22" s="3">
        <v>16</v>
      </c>
      <c r="B22" s="16" t="str">
        <f>VLOOKUP(A22,テーブル!$A$3:$C$11,2,0)</f>
        <v>Ｋ商品</v>
      </c>
      <c r="C22" s="4">
        <v>101</v>
      </c>
      <c r="D22" s="4" t="str">
        <f>VLOOKUP(C22,テーブル!$E$3:$I$6,2,0)</f>
        <v>井上食品</v>
      </c>
      <c r="E22" s="31">
        <v>547</v>
      </c>
      <c r="F22" s="31">
        <v>506</v>
      </c>
      <c r="G22" s="32">
        <f>VLOOKUP(A22,テーブル!$A$3:$C$11,3,0)*F22</f>
        <v>496892</v>
      </c>
      <c r="H22" s="32">
        <f>ROUND(G22*VLOOKUP(C22,テーブル!$E$3:$I$6,3,0),-2)</f>
        <v>51200</v>
      </c>
      <c r="I22" s="33">
        <f t="shared" si="0"/>
        <v>0.92600000000000005</v>
      </c>
    </row>
    <row r="23" spans="1:9">
      <c r="A23" s="3">
        <v>16</v>
      </c>
      <c r="B23" s="16" t="str">
        <f>VLOOKUP(A23,テーブル!$A$3:$C$11,2,0)</f>
        <v>Ｋ商品</v>
      </c>
      <c r="C23" s="4">
        <v>102</v>
      </c>
      <c r="D23" s="4" t="str">
        <f>VLOOKUP(C23,テーブル!$E$3:$I$6,2,0)</f>
        <v>旭ストア</v>
      </c>
      <c r="E23" s="31">
        <v>464</v>
      </c>
      <c r="F23" s="31">
        <v>418</v>
      </c>
      <c r="G23" s="32">
        <f>VLOOKUP(A23,テーブル!$A$3:$C$11,3,0)*F23</f>
        <v>410476</v>
      </c>
      <c r="H23" s="32">
        <f>ROUND(G23*VLOOKUP(C23,テーブル!$E$3:$I$6,3,0),-2)</f>
        <v>39800</v>
      </c>
      <c r="I23" s="33">
        <f t="shared" si="0"/>
        <v>0.90100000000000002</v>
      </c>
    </row>
    <row r="24" spans="1:9">
      <c r="A24" s="3">
        <v>16</v>
      </c>
      <c r="B24" s="16" t="str">
        <f>VLOOKUP(A24,テーブル!$A$3:$C$11,2,0)</f>
        <v>Ｋ商品</v>
      </c>
      <c r="C24" s="4">
        <v>103</v>
      </c>
      <c r="D24" s="4" t="str">
        <f>VLOOKUP(C24,テーブル!$E$3:$I$6,2,0)</f>
        <v>佐藤商事</v>
      </c>
      <c r="E24" s="31">
        <v>480</v>
      </c>
      <c r="F24" s="31">
        <v>432</v>
      </c>
      <c r="G24" s="32">
        <f>VLOOKUP(A24,テーブル!$A$3:$C$11,3,0)*F24</f>
        <v>424224</v>
      </c>
      <c r="H24" s="32">
        <f>ROUND(G24*VLOOKUP(C24,テーブル!$E$3:$I$6,3,0),-2)</f>
        <v>35600</v>
      </c>
      <c r="I24" s="33">
        <f t="shared" si="0"/>
        <v>0.9</v>
      </c>
    </row>
    <row r="25" spans="1:9">
      <c r="A25" s="3">
        <v>16</v>
      </c>
      <c r="B25" s="16" t="str">
        <f>VLOOKUP(A25,テーブル!$A$3:$C$11,2,0)</f>
        <v>Ｋ商品</v>
      </c>
      <c r="C25" s="4">
        <v>104</v>
      </c>
      <c r="D25" s="4" t="str">
        <f>VLOOKUP(C25,テーブル!$E$3:$I$6,2,0)</f>
        <v>鈴木商店</v>
      </c>
      <c r="E25" s="31">
        <v>427</v>
      </c>
      <c r="F25" s="31">
        <v>386</v>
      </c>
      <c r="G25" s="32">
        <f>VLOOKUP(A25,テーブル!$A$3:$C$11,3,0)*F25</f>
        <v>379052</v>
      </c>
      <c r="H25" s="32">
        <f>ROUND(G25*VLOOKUP(C25,テーブル!$E$3:$I$6,3,0),-2)</f>
        <v>40900</v>
      </c>
      <c r="I25" s="33">
        <f t="shared" si="0"/>
        <v>0.90400000000000003</v>
      </c>
    </row>
    <row r="26" spans="1:9">
      <c r="A26" s="3">
        <v>17</v>
      </c>
      <c r="B26" s="16" t="str">
        <f>VLOOKUP(A26,テーブル!$A$3:$C$11,2,0)</f>
        <v>Ｌ商品</v>
      </c>
      <c r="C26" s="4">
        <v>101</v>
      </c>
      <c r="D26" s="4" t="str">
        <f>VLOOKUP(C26,テーブル!$E$3:$I$6,2,0)</f>
        <v>井上食品</v>
      </c>
      <c r="E26" s="31">
        <v>536</v>
      </c>
      <c r="F26" s="31">
        <v>492</v>
      </c>
      <c r="G26" s="32">
        <f>VLOOKUP(A26,テーブル!$A$3:$C$11,3,0)*F26</f>
        <v>509712</v>
      </c>
      <c r="H26" s="32">
        <f>ROUND(G26*VLOOKUP(C26,テーブル!$E$3:$I$6,3,0),-2)</f>
        <v>52500</v>
      </c>
      <c r="I26" s="33">
        <f t="shared" si="0"/>
        <v>0.91800000000000004</v>
      </c>
    </row>
    <row r="27" spans="1:9">
      <c r="A27" s="3">
        <v>17</v>
      </c>
      <c r="B27" s="16" t="str">
        <f>VLOOKUP(A27,テーブル!$A$3:$C$11,2,0)</f>
        <v>Ｌ商品</v>
      </c>
      <c r="C27" s="4">
        <v>102</v>
      </c>
      <c r="D27" s="4" t="str">
        <f>VLOOKUP(C27,テーブル!$E$3:$I$6,2,0)</f>
        <v>旭ストア</v>
      </c>
      <c r="E27" s="31">
        <v>443</v>
      </c>
      <c r="F27" s="31">
        <v>400</v>
      </c>
      <c r="G27" s="32">
        <f>VLOOKUP(A27,テーブル!$A$3:$C$11,3,0)*F27</f>
        <v>414400</v>
      </c>
      <c r="H27" s="32">
        <f>ROUND(G27*VLOOKUP(C27,テーブル!$E$3:$I$6,3,0),-2)</f>
        <v>40200</v>
      </c>
      <c r="I27" s="33">
        <f t="shared" si="0"/>
        <v>0.90300000000000002</v>
      </c>
    </row>
    <row r="28" spans="1:9">
      <c r="A28" s="3">
        <v>17</v>
      </c>
      <c r="B28" s="16" t="str">
        <f>VLOOKUP(A28,テーブル!$A$3:$C$11,2,0)</f>
        <v>Ｌ商品</v>
      </c>
      <c r="C28" s="4">
        <v>103</v>
      </c>
      <c r="D28" s="4" t="str">
        <f>VLOOKUP(C28,テーブル!$E$3:$I$6,2,0)</f>
        <v>佐藤商事</v>
      </c>
      <c r="E28" s="31">
        <v>492</v>
      </c>
      <c r="F28" s="31">
        <v>450</v>
      </c>
      <c r="G28" s="32">
        <f>VLOOKUP(A28,テーブル!$A$3:$C$11,3,0)*F28</f>
        <v>466200</v>
      </c>
      <c r="H28" s="32">
        <f>ROUND(G28*VLOOKUP(C28,テーブル!$E$3:$I$6,3,0),-2)</f>
        <v>39200</v>
      </c>
      <c r="I28" s="33">
        <f t="shared" si="0"/>
        <v>0.91500000000000004</v>
      </c>
    </row>
    <row r="29" spans="1:9">
      <c r="A29" s="34">
        <v>17</v>
      </c>
      <c r="B29" s="16" t="str">
        <f>VLOOKUP(A29,テーブル!$A$3:$C$11,2,0)</f>
        <v>Ｌ商品</v>
      </c>
      <c r="C29" s="4">
        <v>104</v>
      </c>
      <c r="D29" s="4" t="str">
        <f>VLOOKUP(C29,テーブル!$E$3:$I$6,2,0)</f>
        <v>鈴木商店</v>
      </c>
      <c r="E29" s="31">
        <v>512</v>
      </c>
      <c r="F29" s="31">
        <v>464</v>
      </c>
      <c r="G29" s="32">
        <f>VLOOKUP(A29,テーブル!$A$3:$C$11,3,0)*F29</f>
        <v>480704</v>
      </c>
      <c r="H29" s="32">
        <f>ROUND(G29*VLOOKUP(C29,テーブル!$E$3:$I$6,3,0),-2)</f>
        <v>51900</v>
      </c>
      <c r="I29" s="33">
        <f t="shared" si="0"/>
        <v>0.90700000000000003</v>
      </c>
    </row>
    <row r="30" spans="1:9">
      <c r="A30" s="34">
        <v>18</v>
      </c>
      <c r="B30" s="16" t="str">
        <f>VLOOKUP(A30,テーブル!$A$3:$C$11,2,0)</f>
        <v>Ｍ商品</v>
      </c>
      <c r="C30" s="4">
        <v>101</v>
      </c>
      <c r="D30" s="4" t="str">
        <f>VLOOKUP(C30,テーブル!$E$3:$I$6,2,0)</f>
        <v>井上食品</v>
      </c>
      <c r="E30" s="31">
        <v>566</v>
      </c>
      <c r="F30" s="31">
        <v>522</v>
      </c>
      <c r="G30" s="32">
        <f>VLOOKUP(A30,テーブル!$A$3:$C$11,3,0)*F30</f>
        <v>552798</v>
      </c>
      <c r="H30" s="32">
        <f>ROUND(G30*VLOOKUP(C30,テーブル!$E$3:$I$6,3,0),-2)</f>
        <v>56900</v>
      </c>
      <c r="I30" s="33">
        <f t="shared" si="0"/>
        <v>0.92300000000000004</v>
      </c>
    </row>
    <row r="31" spans="1:9">
      <c r="A31" s="34">
        <v>18</v>
      </c>
      <c r="B31" s="16" t="str">
        <f>VLOOKUP(A31,テーブル!$A$3:$C$11,2,0)</f>
        <v>Ｍ商品</v>
      </c>
      <c r="C31" s="4">
        <v>102</v>
      </c>
      <c r="D31" s="4" t="str">
        <f>VLOOKUP(C31,テーブル!$E$3:$I$6,2,0)</f>
        <v>旭ストア</v>
      </c>
      <c r="E31" s="31">
        <v>467</v>
      </c>
      <c r="F31" s="31">
        <v>422</v>
      </c>
      <c r="G31" s="32">
        <f>VLOOKUP(A31,テーブル!$A$3:$C$11,3,0)*F31</f>
        <v>446898</v>
      </c>
      <c r="H31" s="32">
        <f>ROUND(G31*VLOOKUP(C31,テーブル!$E$3:$I$6,3,0),-2)</f>
        <v>43300</v>
      </c>
      <c r="I31" s="33">
        <f t="shared" si="0"/>
        <v>0.90400000000000003</v>
      </c>
    </row>
    <row r="32" spans="1:9">
      <c r="A32" s="34">
        <v>18</v>
      </c>
      <c r="B32" s="16" t="str">
        <f>VLOOKUP(A32,テーブル!$A$3:$C$11,2,0)</f>
        <v>Ｍ商品</v>
      </c>
      <c r="C32" s="4">
        <v>103</v>
      </c>
      <c r="D32" s="4" t="str">
        <f>VLOOKUP(C32,テーブル!$E$3:$I$6,2,0)</f>
        <v>佐藤商事</v>
      </c>
      <c r="E32" s="31">
        <v>545</v>
      </c>
      <c r="F32" s="31">
        <v>502</v>
      </c>
      <c r="G32" s="32">
        <f>VLOOKUP(A32,テーブル!$A$3:$C$11,3,0)*F32</f>
        <v>531618</v>
      </c>
      <c r="H32" s="32">
        <f>ROUND(G32*VLOOKUP(C32,テーブル!$E$3:$I$6,3,0),-2)</f>
        <v>44700</v>
      </c>
      <c r="I32" s="33">
        <f t="shared" si="0"/>
        <v>0.92200000000000004</v>
      </c>
    </row>
    <row r="33" spans="1:9">
      <c r="A33" s="34">
        <v>18</v>
      </c>
      <c r="B33" s="16" t="str">
        <f>VLOOKUP(A33,テーブル!$A$3:$C$11,2,0)</f>
        <v>Ｍ商品</v>
      </c>
      <c r="C33" s="4">
        <v>104</v>
      </c>
      <c r="D33" s="4" t="str">
        <f>VLOOKUP(C33,テーブル!$E$3:$I$6,2,0)</f>
        <v>鈴木商店</v>
      </c>
      <c r="E33" s="31">
        <v>505</v>
      </c>
      <c r="F33" s="31">
        <v>465</v>
      </c>
      <c r="G33" s="32">
        <f>VLOOKUP(A33,テーブル!$A$3:$C$11,3,0)*F33</f>
        <v>492435</v>
      </c>
      <c r="H33" s="32">
        <f>ROUND(G33*VLOOKUP(C33,テーブル!$E$3:$I$6,3,0),-2)</f>
        <v>53200</v>
      </c>
      <c r="I33" s="33">
        <f t="shared" si="0"/>
        <v>0.92100000000000004</v>
      </c>
    </row>
    <row r="34" spans="1:9">
      <c r="A34" s="34">
        <v>19</v>
      </c>
      <c r="B34" s="16" t="str">
        <f>VLOOKUP(A34,テーブル!$A$3:$C$11,2,0)</f>
        <v>Ｎ商品</v>
      </c>
      <c r="C34" s="4">
        <v>101</v>
      </c>
      <c r="D34" s="4" t="str">
        <f>VLOOKUP(C34,テーブル!$E$3:$I$6,2,0)</f>
        <v>井上食品</v>
      </c>
      <c r="E34" s="31">
        <v>453</v>
      </c>
      <c r="F34" s="31">
        <v>408</v>
      </c>
      <c r="G34" s="32">
        <f>VLOOKUP(A34,テーブル!$A$3:$C$11,3,0)*F34</f>
        <v>437784</v>
      </c>
      <c r="H34" s="32">
        <f>ROUND(G34*VLOOKUP(C34,テーブル!$E$3:$I$6,3,0),-2)</f>
        <v>45100</v>
      </c>
      <c r="I34" s="33">
        <f t="shared" si="0"/>
        <v>0.90100000000000002</v>
      </c>
    </row>
    <row r="35" spans="1:9">
      <c r="A35" s="34">
        <v>19</v>
      </c>
      <c r="B35" s="16" t="str">
        <f>VLOOKUP(A35,テーブル!$A$3:$C$11,2,0)</f>
        <v>Ｎ商品</v>
      </c>
      <c r="C35" s="4">
        <v>102</v>
      </c>
      <c r="D35" s="4" t="str">
        <f>VLOOKUP(C35,テーブル!$E$3:$I$6,2,0)</f>
        <v>旭ストア</v>
      </c>
      <c r="E35" s="31">
        <v>421</v>
      </c>
      <c r="F35" s="31">
        <v>380</v>
      </c>
      <c r="G35" s="32">
        <f>VLOOKUP(A35,テーブル!$A$3:$C$11,3,0)*F35</f>
        <v>407740</v>
      </c>
      <c r="H35" s="32">
        <f>ROUND(G35*VLOOKUP(C35,テーブル!$E$3:$I$6,3,0),-2)</f>
        <v>39600</v>
      </c>
      <c r="I35" s="33">
        <f t="shared" si="0"/>
        <v>0.90300000000000002</v>
      </c>
    </row>
    <row r="36" spans="1:9">
      <c r="A36" s="34">
        <v>19</v>
      </c>
      <c r="B36" s="16" t="str">
        <f>VLOOKUP(A36,テーブル!$A$3:$C$11,2,0)</f>
        <v>Ｎ商品</v>
      </c>
      <c r="C36" s="4">
        <v>103</v>
      </c>
      <c r="D36" s="4" t="str">
        <f>VLOOKUP(C36,テーブル!$E$3:$I$6,2,0)</f>
        <v>佐藤商事</v>
      </c>
      <c r="E36" s="31">
        <v>440</v>
      </c>
      <c r="F36" s="31">
        <v>396</v>
      </c>
      <c r="G36" s="32">
        <f>VLOOKUP(A36,テーブル!$A$3:$C$11,3,0)*F36</f>
        <v>424908</v>
      </c>
      <c r="H36" s="32">
        <f>ROUND(G36*VLOOKUP(C36,テーブル!$E$3:$I$6,3,0),-2)</f>
        <v>35700</v>
      </c>
      <c r="I36" s="33">
        <f t="shared" si="0"/>
        <v>0.9</v>
      </c>
    </row>
    <row r="37" spans="1:9">
      <c r="A37" s="34">
        <v>19</v>
      </c>
      <c r="B37" s="16" t="str">
        <f>VLOOKUP(A37,テーブル!$A$3:$C$11,2,0)</f>
        <v>Ｎ商品</v>
      </c>
      <c r="C37" s="4">
        <v>104</v>
      </c>
      <c r="D37" s="4" t="str">
        <f>VLOOKUP(C37,テーブル!$E$3:$I$6,2,0)</f>
        <v>鈴木商店</v>
      </c>
      <c r="E37" s="31">
        <v>417</v>
      </c>
      <c r="F37" s="31">
        <v>377</v>
      </c>
      <c r="G37" s="32">
        <f>VLOOKUP(A37,テーブル!$A$3:$C$11,3,0)*F37</f>
        <v>404521</v>
      </c>
      <c r="H37" s="32">
        <f>ROUND(G37*VLOOKUP(C37,テーブル!$E$3:$I$6,3,0),-2)</f>
        <v>43700</v>
      </c>
      <c r="I37" s="33">
        <f t="shared" si="0"/>
        <v>0.90500000000000003</v>
      </c>
    </row>
    <row r="38" spans="1:9">
      <c r="A38" s="34"/>
      <c r="B38" s="35"/>
      <c r="C38" s="35"/>
      <c r="D38" s="35"/>
      <c r="E38" s="35"/>
      <c r="F38" s="35"/>
      <c r="G38" s="35"/>
      <c r="H38" s="35"/>
      <c r="I38" s="36"/>
    </row>
    <row r="39" spans="1:9" ht="14.25" thickBot="1">
      <c r="A39" s="37"/>
      <c r="B39" s="38" t="s">
        <v>13</v>
      </c>
      <c r="C39" s="17"/>
      <c r="D39" s="39"/>
      <c r="E39" s="40">
        <f>SUM(E2:E37)</f>
        <v>17706</v>
      </c>
      <c r="F39" s="40">
        <f t="shared" ref="F39:H39" si="1">SUM(F2:F37)</f>
        <v>16136</v>
      </c>
      <c r="G39" s="40">
        <f t="shared" si="1"/>
        <v>14382731</v>
      </c>
      <c r="H39" s="40">
        <f t="shared" si="1"/>
        <v>1408500</v>
      </c>
      <c r="I39" s="41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15"/>
  <sheetViews>
    <sheetView zoomScaleNormal="100" workbookViewId="0">
      <selection sqref="A1:D1"/>
    </sheetView>
  </sheetViews>
  <sheetFormatPr defaultRowHeight="13.5"/>
  <cols>
    <col min="1" max="2" width="7.5" style="1" bestFit="1" customWidth="1"/>
    <col min="3" max="3" width="10.5" style="1" bestFit="1" customWidth="1"/>
    <col min="4" max="4" width="8.5" style="1" bestFit="1" customWidth="1"/>
    <col min="5" max="5" width="9" style="1"/>
    <col min="6" max="6" width="9.5" style="1" bestFit="1" customWidth="1"/>
    <col min="7" max="8" width="9.5" style="1" customWidth="1"/>
    <col min="9" max="9" width="11.625" style="1" bestFit="1" customWidth="1"/>
    <col min="10" max="10" width="10.5" style="1" bestFit="1" customWidth="1"/>
    <col min="11" max="12" width="7.5" style="1" bestFit="1" customWidth="1"/>
    <col min="13" max="13" width="11.625" style="1" bestFit="1" customWidth="1"/>
    <col min="14" max="14" width="10.5" style="1" bestFit="1" customWidth="1"/>
    <col min="15" max="16" width="7.5" style="1" bestFit="1" customWidth="1"/>
    <col min="17" max="17" width="11.625" style="1" bestFit="1" customWidth="1"/>
    <col min="18" max="18" width="10.5" style="1" bestFit="1" customWidth="1"/>
    <col min="19" max="20" width="7.5" style="1" bestFit="1" customWidth="1"/>
    <col min="21" max="21" width="8.5" style="1" bestFit="1" customWidth="1"/>
    <col min="22" max="22" width="10.5" style="1" bestFit="1" customWidth="1"/>
    <col min="23" max="23" width="5.5" style="1" bestFit="1" customWidth="1"/>
    <col min="24" max="24" width="9" style="1" customWidth="1"/>
    <col min="25" max="16384" width="9" style="1"/>
  </cols>
  <sheetData>
    <row r="1" spans="1:23" ht="14.25" thickBot="1">
      <c r="A1" s="59" t="s">
        <v>16</v>
      </c>
      <c r="B1" s="59"/>
      <c r="C1" s="59"/>
      <c r="D1" s="59"/>
      <c r="F1" s="58" t="s">
        <v>51</v>
      </c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23">
      <c r="A2" s="12" t="s">
        <v>10</v>
      </c>
      <c r="B2" s="30" t="s">
        <v>4</v>
      </c>
      <c r="C2" s="30" t="s">
        <v>5</v>
      </c>
      <c r="D2" s="13" t="s">
        <v>6</v>
      </c>
      <c r="F2" s="25"/>
      <c r="G2" s="55" t="s">
        <v>21</v>
      </c>
      <c r="H2" s="56"/>
      <c r="I2" s="56"/>
      <c r="J2" s="57"/>
      <c r="K2" s="55" t="s">
        <v>22</v>
      </c>
      <c r="L2" s="56"/>
      <c r="M2" s="56"/>
      <c r="N2" s="57"/>
      <c r="O2" s="55" t="s">
        <v>23</v>
      </c>
      <c r="P2" s="56"/>
      <c r="Q2" s="56"/>
      <c r="R2" s="57"/>
      <c r="S2" s="44"/>
      <c r="T2" s="27"/>
      <c r="U2" s="27"/>
      <c r="V2" s="44"/>
      <c r="W2" s="28"/>
    </row>
    <row r="3" spans="1:23">
      <c r="A3" s="20" t="s">
        <v>25</v>
      </c>
      <c r="B3" s="5">
        <f>SUMIF(上期!$B$2:$B$37,$A3,上期!F$2:F$37)+SUMIF(下期!$B$2:$B$37,$A3,下期!F$2:F$37)</f>
        <v>3845</v>
      </c>
      <c r="C3" s="5">
        <f>SUMIF(上期!$B$2:$B$37,$A3,上期!G$2:G$37)+SUMIF(下期!$B$2:$B$37,$A3,下期!G$2:G$37)</f>
        <v>3018325</v>
      </c>
      <c r="D3" s="21">
        <f>SUMIF(上期!$B$2:$B$37,$A3,上期!H$2:H$37)+SUMIF(下期!$B$2:$B$37,$A3,下期!H$2:H$37)</f>
        <v>295200</v>
      </c>
      <c r="F3" s="26" t="s">
        <v>19</v>
      </c>
      <c r="G3" s="15" t="s">
        <v>3</v>
      </c>
      <c r="H3" s="15" t="s">
        <v>4</v>
      </c>
      <c r="I3" s="15" t="s">
        <v>5</v>
      </c>
      <c r="J3" s="15" t="s">
        <v>6</v>
      </c>
      <c r="K3" s="15" t="s">
        <v>3</v>
      </c>
      <c r="L3" s="15" t="s">
        <v>4</v>
      </c>
      <c r="M3" s="15" t="s">
        <v>5</v>
      </c>
      <c r="N3" s="15" t="s">
        <v>6</v>
      </c>
      <c r="O3" s="15" t="s">
        <v>3</v>
      </c>
      <c r="P3" s="15" t="s">
        <v>4</v>
      </c>
      <c r="Q3" s="15" t="s">
        <v>5</v>
      </c>
      <c r="R3" s="15" t="s">
        <v>6</v>
      </c>
      <c r="S3" s="45" t="s">
        <v>17</v>
      </c>
      <c r="T3" s="54" t="s">
        <v>18</v>
      </c>
      <c r="U3" s="29" t="s">
        <v>45</v>
      </c>
      <c r="V3" s="45" t="s">
        <v>24</v>
      </c>
      <c r="W3" s="50" t="s">
        <v>8</v>
      </c>
    </row>
    <row r="4" spans="1:23">
      <c r="A4" s="20" t="s">
        <v>33</v>
      </c>
      <c r="B4" s="5">
        <f>SUMIF(上期!$B$2:$B$37,$A4,上期!F$2:F$37)+SUMIF(下期!$B$2:$B$37,$A4,下期!F$2:F$37)</f>
        <v>3702</v>
      </c>
      <c r="C4" s="5">
        <f>SUMIF(上期!$B$2:$B$37,$A4,上期!G$2:G$37)+SUMIF(下期!$B$2:$B$37,$A4,下期!G$2:G$37)</f>
        <v>3920418</v>
      </c>
      <c r="D4" s="21">
        <f>SUMIF(上期!$B$2:$B$37,$A4,上期!H$2:H$37)+SUMIF(下期!$B$2:$B$37,$A4,下期!H$2:H$37)</f>
        <v>384200</v>
      </c>
      <c r="F4" s="3" t="s">
        <v>47</v>
      </c>
      <c r="G4" s="5">
        <f ca="1">DSUM(INDIRECT($G$2&amp;"!$A$1:$I$37"),G$3,$F$11:$F$12)</f>
        <v>4607</v>
      </c>
      <c r="H4" s="5">
        <f ca="1">DSUM(INDIRECT($G$2&amp;"!$A$1:$I$37"),H$3,$F$11:$F$12)</f>
        <v>4229</v>
      </c>
      <c r="I4" s="5">
        <f ca="1">DSUM(INDIRECT($G$2&amp;"!$A$1:$I$37"),I$3,$F$11:$F$12)</f>
        <v>3778121</v>
      </c>
      <c r="J4" s="5">
        <f ca="1">DSUM(INDIRECT($G$2&amp;"!$A$1:$I$37"),J$3,$F$11:$F$12)</f>
        <v>389200</v>
      </c>
      <c r="K4" s="5">
        <f ca="1">DSUM(INDIRECT($K$2&amp;"!$A$1:$I$37"),K$3,$F$11:$F$12)</f>
        <v>4716</v>
      </c>
      <c r="L4" s="5">
        <f ca="1">DSUM(INDIRECT($K$2&amp;"!$A$1:$I$37"),L$3,$F$11:$F$12)</f>
        <v>4328</v>
      </c>
      <c r="M4" s="5">
        <f ca="1">DSUM(INDIRECT($K$2&amp;"!$A$1:$I$37"),M$3,$F$11:$F$12)</f>
        <v>3856179</v>
      </c>
      <c r="N4" s="5">
        <f ca="1">DSUM(INDIRECT($K$2&amp;"!$A$1:$I$37"),N$3,$F$11:$F$12)</f>
        <v>397200</v>
      </c>
      <c r="O4" s="5">
        <f ca="1">G4+K4</f>
        <v>9323</v>
      </c>
      <c r="P4" s="5">
        <f ca="1">H4+L4</f>
        <v>8557</v>
      </c>
      <c r="Q4" s="5">
        <f ca="1">I4+M4</f>
        <v>7634300</v>
      </c>
      <c r="R4" s="5">
        <f ca="1">J4+N4</f>
        <v>786400</v>
      </c>
      <c r="S4" s="52">
        <f ca="1">ROUNDUP(1-P4/O4,3)</f>
        <v>8.3000000000000004E-2</v>
      </c>
      <c r="T4" s="42">
        <f ca="1">ROUNDDOWN(P4/VLOOKUP(F4,テーブル!$F$3:$I$6,3,0),3)</f>
        <v>1.0009999999999999</v>
      </c>
      <c r="U4" s="5">
        <f ca="1">ROUND(IF(Q4&gt;VLOOKUP(F4,テーブル!$F$3:$I$6,4,0),R4*8.4%,0),-1)</f>
        <v>66060</v>
      </c>
      <c r="V4" s="47">
        <f ca="1">R4+U4</f>
        <v>852460</v>
      </c>
      <c r="W4" s="51" t="str">
        <f ca="1">IF(AND(S4&lt;9.3%,T4&gt;=AVERAGE($T$4:$T$7)),"順調","努力")</f>
        <v>順調</v>
      </c>
    </row>
    <row r="5" spans="1:23">
      <c r="A5" s="20" t="s">
        <v>27</v>
      </c>
      <c r="B5" s="5">
        <f>SUMIF(上期!$B$2:$B$37,$A5,上期!F$2:F$37)+SUMIF(下期!$B$2:$B$37,$A5,下期!F$2:F$37)</f>
        <v>3679</v>
      </c>
      <c r="C5" s="5">
        <f>SUMIF(上期!$B$2:$B$37,$A5,上期!G$2:G$37)+SUMIF(下期!$B$2:$B$37,$A5,下期!G$2:G$37)</f>
        <v>3167619</v>
      </c>
      <c r="D5" s="21">
        <f>SUMIF(上期!$B$2:$B$37,$A5,上期!H$2:H$37)+SUMIF(下期!$B$2:$B$37,$A5,下期!H$2:H$37)</f>
        <v>311300</v>
      </c>
      <c r="F5" s="3" t="s">
        <v>48</v>
      </c>
      <c r="G5" s="5">
        <f ca="1">DSUM(INDIRECT($G$2&amp;"!$A$1:$I$37"),G$3,$G$11:$G$12)</f>
        <v>4366</v>
      </c>
      <c r="H5" s="5">
        <f ca="1">DSUM(INDIRECT($G$2&amp;"!$A$1:$I$37"),H$3,$G$11:$G$12)</f>
        <v>3979</v>
      </c>
      <c r="I5" s="5">
        <f ca="1">DSUM(INDIRECT($G$2&amp;"!$A$1:$I$37"),I$3,$G$11:$G$12)</f>
        <v>3551621</v>
      </c>
      <c r="J5" s="5">
        <f ca="1">DSUM(INDIRECT($G$2&amp;"!$A$1:$I$37"),J$3,$G$11:$G$12)</f>
        <v>344600</v>
      </c>
      <c r="K5" s="5">
        <f ca="1">DSUM(INDIRECT($K$2&amp;"!$A$1:$I$37"),K$3,$G$11:$G$12)</f>
        <v>4282</v>
      </c>
      <c r="L5" s="5">
        <f ca="1">DSUM(INDIRECT($K$2&amp;"!$A$1:$I$37"),L$3,$G$11:$G$12)</f>
        <v>3901</v>
      </c>
      <c r="M5" s="5">
        <f ca="1">DSUM(INDIRECT($K$2&amp;"!$A$1:$I$37"),M$3,$G$11:$G$12)</f>
        <v>3473131</v>
      </c>
      <c r="N5" s="5">
        <f ca="1">DSUM(INDIRECT($K$2&amp;"!$A$1:$I$37"),N$3,$G$11:$G$12)</f>
        <v>336900</v>
      </c>
      <c r="O5" s="5">
        <f t="shared" ref="O5:O7" ca="1" si="0">G5+K5</f>
        <v>8648</v>
      </c>
      <c r="P5" s="5">
        <f t="shared" ref="P5:P7" ca="1" si="1">H5+L5</f>
        <v>7880</v>
      </c>
      <c r="Q5" s="5">
        <f t="shared" ref="Q5:R7" ca="1" si="2">I5+M5</f>
        <v>7024752</v>
      </c>
      <c r="R5" s="5">
        <f t="shared" ca="1" si="2"/>
        <v>681500</v>
      </c>
      <c r="S5" s="52">
        <f t="shared" ref="S5:S7" ca="1" si="3">ROUNDUP(1-P5/O5,3)</f>
        <v>8.8999999999999996E-2</v>
      </c>
      <c r="T5" s="42">
        <f ca="1">ROUNDDOWN(P5/VLOOKUP(F5,テーブル!$F$3:$I$6,3,0),3)</f>
        <v>0.99099999999999999</v>
      </c>
      <c r="U5" s="5">
        <f ca="1">ROUND(IF(Q5&gt;VLOOKUP(F5,テーブル!$F$3:$I$6,4,0),R5*8.4%,0),-1)</f>
        <v>0</v>
      </c>
      <c r="V5" s="47">
        <f ca="1">R5+U5</f>
        <v>681500</v>
      </c>
      <c r="W5" s="51" t="str">
        <f t="shared" ref="W5:W7" ca="1" si="4">IF(AND(S5&lt;9.3%,T5&gt;=AVERAGE($T$4:$T$7)),"順調","努力")</f>
        <v>努力</v>
      </c>
    </row>
    <row r="6" spans="1:23">
      <c r="A6" s="20" t="s">
        <v>31</v>
      </c>
      <c r="B6" s="5">
        <f>SUMIF(上期!$B$2:$B$37,$A6,上期!F$2:F$37)+SUMIF(下期!$B$2:$B$37,$A6,下期!F$2:F$37)</f>
        <v>3563</v>
      </c>
      <c r="C6" s="5">
        <f>SUMIF(上期!$B$2:$B$37,$A6,上期!G$2:G$37)+SUMIF(下期!$B$2:$B$37,$A6,下期!G$2:G$37)</f>
        <v>3691268</v>
      </c>
      <c r="D6" s="21">
        <f>SUMIF(上期!$B$2:$B$37,$A6,上期!H$2:H$37)+SUMIF(下期!$B$2:$B$37,$A6,下期!H$2:H$37)</f>
        <v>361900</v>
      </c>
      <c r="F6" s="3" t="s">
        <v>49</v>
      </c>
      <c r="G6" s="5">
        <f ca="1">DSUM(INDIRECT($G$2&amp;"!$A$1:$I$37"),G$3,$H$11:$H$12)</f>
        <v>4111</v>
      </c>
      <c r="H6" s="5">
        <f ca="1">DSUM(INDIRECT($G$2&amp;"!$A$1:$I$37"),H$3,$H$11:$H$12)</f>
        <v>3728</v>
      </c>
      <c r="I6" s="5">
        <f ca="1">DSUM(INDIRECT($G$2&amp;"!$A$1:$I$37"),I$3,$H$11:$H$12)</f>
        <v>3341977</v>
      </c>
      <c r="J6" s="5">
        <f ca="1">DSUM(INDIRECT($G$2&amp;"!$A$1:$I$37"),J$3,$H$11:$H$12)</f>
        <v>280700</v>
      </c>
      <c r="K6" s="5">
        <f ca="1">DSUM(INDIRECT($K$2&amp;"!$A$1:$I$37"),K$3,$H$11:$H$12)</f>
        <v>4481</v>
      </c>
      <c r="L6" s="5">
        <f ca="1">DSUM(INDIRECT($K$2&amp;"!$A$1:$I$37"),L$3,$H$11:$H$12)</f>
        <v>4076</v>
      </c>
      <c r="M6" s="5">
        <f ca="1">DSUM(INDIRECT($K$2&amp;"!$A$1:$I$37"),M$3,$H$11:$H$12)</f>
        <v>3647333</v>
      </c>
      <c r="N6" s="5">
        <f ca="1">DSUM(INDIRECT($K$2&amp;"!$A$1:$I$37"),N$3,$H$11:$H$12)</f>
        <v>306500</v>
      </c>
      <c r="O6" s="5">
        <f t="shared" ca="1" si="0"/>
        <v>8592</v>
      </c>
      <c r="P6" s="5">
        <f t="shared" ca="1" si="1"/>
        <v>7804</v>
      </c>
      <c r="Q6" s="5">
        <f t="shared" ca="1" si="2"/>
        <v>6989310</v>
      </c>
      <c r="R6" s="5">
        <f t="shared" ca="1" si="2"/>
        <v>587200</v>
      </c>
      <c r="S6" s="52">
        <f t="shared" ca="1" si="3"/>
        <v>9.1999999999999998E-2</v>
      </c>
      <c r="T6" s="42">
        <f ca="1">ROUNDDOWN(P6/VLOOKUP(F6,テーブル!$F$3:$I$6,3,0),3)</f>
        <v>1.01</v>
      </c>
      <c r="U6" s="5">
        <f ca="1">ROUND(IF(Q6&gt;VLOOKUP(F6,テーブル!$F$3:$I$6,4,0),R6*8.4%,0),-1)</f>
        <v>49320</v>
      </c>
      <c r="V6" s="47">
        <f ca="1">R6+U6</f>
        <v>636520</v>
      </c>
      <c r="W6" s="51" t="str">
        <f t="shared" ca="1" si="4"/>
        <v>順調</v>
      </c>
    </row>
    <row r="7" spans="1:23">
      <c r="A7" s="20" t="s">
        <v>39</v>
      </c>
      <c r="B7" s="5">
        <f>SUMIF(上期!$B$2:$B$37,$A7,上期!F$2:F$37)+SUMIF(下期!$B$2:$B$37,$A7,下期!F$2:F$37)</f>
        <v>3546</v>
      </c>
      <c r="C7" s="5">
        <f>SUMIF(上期!$B$2:$B$37,$A7,上期!G$2:G$37)+SUMIF(下期!$B$2:$B$37,$A7,下期!G$2:G$37)</f>
        <v>2386458</v>
      </c>
      <c r="D7" s="21">
        <f>SUMIF(上期!$B$2:$B$37,$A7,上期!H$2:H$37)+SUMIF(下期!$B$2:$B$37,$A7,下期!H$2:H$37)</f>
        <v>234400</v>
      </c>
      <c r="F7" s="3" t="s">
        <v>50</v>
      </c>
      <c r="G7" s="5">
        <f ca="1">DSUM(INDIRECT($G$2&amp;"!$A$1:$I$37"),G$3,$I$11:$I$12)</f>
        <v>4388</v>
      </c>
      <c r="H7" s="5">
        <f ca="1">DSUM(INDIRECT($G$2&amp;"!$A$1:$I$37"),H$3,$I$11:$I$12)</f>
        <v>3988</v>
      </c>
      <c r="I7" s="5">
        <f ca="1">DSUM(INDIRECT($G$2&amp;"!$A$1:$I$37"),I$3,$I$11:$I$12)</f>
        <v>3553400</v>
      </c>
      <c r="J7" s="5">
        <f ca="1">DSUM(INDIRECT($G$2&amp;"!$A$1:$I$37"),J$3,$I$11:$I$12)</f>
        <v>383800</v>
      </c>
      <c r="K7" s="5">
        <f ca="1">DSUM(INDIRECT($K$2&amp;"!$A$1:$I$37"),K$3,$I$11:$I$12)</f>
        <v>4227</v>
      </c>
      <c r="L7" s="5">
        <f ca="1">DSUM(INDIRECT($K$2&amp;"!$A$1:$I$37"),L$3,$I$11:$I$12)</f>
        <v>3831</v>
      </c>
      <c r="M7" s="5">
        <f ca="1">DSUM(INDIRECT($K$2&amp;"!$A$1:$I$37"),M$3,$I$11:$I$12)</f>
        <v>3406088</v>
      </c>
      <c r="N7" s="5">
        <f ca="1">DSUM(INDIRECT($K$2&amp;"!$A$1:$I$37"),N$3,$I$11:$I$12)</f>
        <v>367900</v>
      </c>
      <c r="O7" s="5">
        <f t="shared" ca="1" si="0"/>
        <v>8615</v>
      </c>
      <c r="P7" s="5">
        <f t="shared" ca="1" si="1"/>
        <v>7819</v>
      </c>
      <c r="Q7" s="5">
        <f t="shared" ca="1" si="2"/>
        <v>6959488</v>
      </c>
      <c r="R7" s="5">
        <f t="shared" ca="1" si="2"/>
        <v>751700</v>
      </c>
      <c r="S7" s="53">
        <f t="shared" ca="1" si="3"/>
        <v>9.2999999999999999E-2</v>
      </c>
      <c r="T7" s="42">
        <f ca="1">ROUNDDOWN(P7/VLOOKUP(F7,テーブル!$F$3:$I$6,3,0),3)</f>
        <v>1.002</v>
      </c>
      <c r="U7" s="5">
        <f ca="1">ROUND(IF(Q7&gt;VLOOKUP(F7,テーブル!$F$3:$I$6,4,0),R7*8.4%,0),-1)</f>
        <v>0</v>
      </c>
      <c r="V7" s="47">
        <f ca="1">R7+U7</f>
        <v>751700</v>
      </c>
      <c r="W7" s="51" t="str">
        <f t="shared" ca="1" si="4"/>
        <v>努力</v>
      </c>
    </row>
    <row r="8" spans="1:23">
      <c r="A8" s="20" t="s">
        <v>28</v>
      </c>
      <c r="B8" s="5">
        <f>SUMIF(上期!$B$2:$B$37,$A8,上期!F$2:F$37)+SUMIF(下期!$B$2:$B$37,$A8,下期!F$2:F$37)</f>
        <v>3517</v>
      </c>
      <c r="C8" s="5">
        <f>SUMIF(上期!$B$2:$B$37,$A8,上期!G$2:G$37)+SUMIF(下期!$B$2:$B$37,$A8,下期!G$2:G$37)</f>
        <v>3330599</v>
      </c>
      <c r="D8" s="21">
        <f>SUMIF(上期!$B$2:$B$37,$A8,上期!H$2:H$37)+SUMIF(下期!$B$2:$B$37,$A8,下期!H$2:H$37)</f>
        <v>326100</v>
      </c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8"/>
      <c r="T8" s="4"/>
      <c r="U8" s="4"/>
      <c r="V8" s="48"/>
      <c r="W8" s="6"/>
    </row>
    <row r="9" spans="1:23" ht="14.25" thickBot="1">
      <c r="A9" s="20" t="s">
        <v>37</v>
      </c>
      <c r="B9" s="5">
        <f>SUMIF(上期!$B$2:$B$37,$A9,上期!F$2:F$37)+SUMIF(下期!$B$2:$B$37,$A9,下期!F$2:F$37)</f>
        <v>3446</v>
      </c>
      <c r="C9" s="5">
        <f>SUMIF(上期!$B$2:$B$37,$A9,上期!G$2:G$37)+SUMIF(下期!$B$2:$B$37,$A9,下期!G$2:G$37)</f>
        <v>2150304</v>
      </c>
      <c r="D9" s="21">
        <f>SUMIF(上期!$B$2:$B$37,$A9,上期!H$2:H$37)+SUMIF(下期!$B$2:$B$37,$A9,下期!H$2:H$37)</f>
        <v>212200</v>
      </c>
      <c r="F9" s="46" t="s">
        <v>0</v>
      </c>
      <c r="G9" s="9">
        <f t="shared" ref="G9:I9" ca="1" si="5">SUM(G4:G7)</f>
        <v>17472</v>
      </c>
      <c r="H9" s="9">
        <f t="shared" ca="1" si="5"/>
        <v>15924</v>
      </c>
      <c r="I9" s="9">
        <f t="shared" ca="1" si="5"/>
        <v>14225119</v>
      </c>
      <c r="J9" s="9">
        <f ca="1">SUM(J4:J7)</f>
        <v>1398300</v>
      </c>
      <c r="K9" s="9">
        <f t="shared" ref="K9:R9" ca="1" si="6">SUM(K4:K7)</f>
        <v>17706</v>
      </c>
      <c r="L9" s="9">
        <f t="shared" ca="1" si="6"/>
        <v>16136</v>
      </c>
      <c r="M9" s="9">
        <f t="shared" ca="1" si="6"/>
        <v>14382731</v>
      </c>
      <c r="N9" s="9">
        <f t="shared" ca="1" si="6"/>
        <v>1408500</v>
      </c>
      <c r="O9" s="9">
        <f t="shared" ca="1" si="6"/>
        <v>35178</v>
      </c>
      <c r="P9" s="9">
        <f t="shared" ca="1" si="6"/>
        <v>32060</v>
      </c>
      <c r="Q9" s="9">
        <f t="shared" ca="1" si="6"/>
        <v>28607850</v>
      </c>
      <c r="R9" s="9">
        <f t="shared" ca="1" si="6"/>
        <v>2806800</v>
      </c>
      <c r="S9" s="49"/>
      <c r="T9" s="17"/>
      <c r="U9" s="9">
        <f t="shared" ref="U9:V9" ca="1" si="7">SUM(U4:U7)</f>
        <v>115380</v>
      </c>
      <c r="V9" s="49">
        <f t="shared" ca="1" si="7"/>
        <v>2922180</v>
      </c>
      <c r="W9" s="8"/>
    </row>
    <row r="10" spans="1:23" ht="14.25" thickBot="1">
      <c r="A10" s="20" t="s">
        <v>29</v>
      </c>
      <c r="B10" s="5">
        <f>SUMIF(上期!$B$2:$B$37,$A10,上期!F$2:F$37)+SUMIF(下期!$B$2:$B$37,$A10,下期!F$2:F$37)</f>
        <v>3437</v>
      </c>
      <c r="C10" s="5">
        <f>SUMIF(上期!$B$2:$B$37,$A10,上期!G$2:G$37)+SUMIF(下期!$B$2:$B$37,$A10,下期!G$2:G$37)</f>
        <v>3375134</v>
      </c>
      <c r="D10" s="21">
        <f>SUMIF(上期!$B$2:$B$37,$A10,上期!H$2:H$37)+SUMIF(下期!$B$2:$B$37,$A10,下期!H$2:H$37)</f>
        <v>330400</v>
      </c>
    </row>
    <row r="11" spans="1:23" ht="14.25" thickBot="1">
      <c r="A11" s="22" t="s">
        <v>35</v>
      </c>
      <c r="B11" s="7">
        <f>SUMIF(上期!$B$2:$B$37,$A11,上期!F$2:F$37)+SUMIF(下期!$B$2:$B$37,$A11,下期!F$2:F$37)</f>
        <v>3325</v>
      </c>
      <c r="C11" s="7">
        <f>SUMIF(上期!$B$2:$B$37,$A11,上期!G$2:G$37)+SUMIF(下期!$B$2:$B$37,$A11,下期!G$2:G$37)</f>
        <v>3567725</v>
      </c>
      <c r="D11" s="11">
        <f>SUMIF(上期!$B$2:$B$37,$A11,上期!H$2:H$37)+SUMIF(下期!$B$2:$B$37,$A11,下期!H$2:H$37)</f>
        <v>351100</v>
      </c>
      <c r="F11" s="24" t="s">
        <v>1</v>
      </c>
      <c r="G11" s="24" t="s">
        <v>1</v>
      </c>
      <c r="H11" s="24" t="s">
        <v>1</v>
      </c>
      <c r="I11" s="24" t="s">
        <v>1</v>
      </c>
      <c r="N11" s="14"/>
      <c r="O11" s="14"/>
      <c r="P11" s="14"/>
      <c r="Q11" s="14"/>
      <c r="R11" s="14"/>
      <c r="S11" s="14"/>
    </row>
    <row r="12" spans="1:23" ht="14.25" thickBot="1">
      <c r="F12" s="10" t="s">
        <v>43</v>
      </c>
      <c r="G12" s="10" t="s">
        <v>42</v>
      </c>
      <c r="H12" s="10" t="s">
        <v>41</v>
      </c>
      <c r="I12" s="10" t="s">
        <v>40</v>
      </c>
    </row>
    <row r="15" spans="1:23">
      <c r="F15" s="23"/>
      <c r="G15" s="23"/>
      <c r="H15" s="23"/>
    </row>
  </sheetData>
  <sortState xmlns:xlrd2="http://schemas.microsoft.com/office/spreadsheetml/2017/richdata2" ref="A3:D11">
    <sortCondition descending="1" ref="B3:B11"/>
  </sortState>
  <mergeCells count="5">
    <mergeCell ref="G2:J2"/>
    <mergeCell ref="K2:N2"/>
    <mergeCell ref="O2:R2"/>
    <mergeCell ref="F1:W1"/>
    <mergeCell ref="A1:D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上期</vt:lpstr>
      <vt:lpstr>下期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2019-01-16T21:02:38Z</cp:lastPrinted>
  <dcterms:created xsi:type="dcterms:W3CDTF">2012-06-19T05:36:06Z</dcterms:created>
  <dcterms:modified xsi:type="dcterms:W3CDTF">2025-01-14T08:23:31Z</dcterms:modified>
</cp:coreProperties>
</file>