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移行用フォルダー\問題集\1表計算\2025(令和07)年度\3_SP初段\模範解答\"/>
    </mc:Choice>
  </mc:AlternateContent>
  <xr:revisionPtr revIDLastSave="0" documentId="13_ncr:1_{03EBB5FC-D119-4A07-944F-8561DCF8726F}" xr6:coauthVersionLast="47" xr6:coauthVersionMax="47" xr10:uidLastSave="{00000000-0000-0000-0000-000000000000}"/>
  <bookViews>
    <workbookView xWindow="-120" yWindow="-120" windowWidth="29040" windowHeight="15720" tabRatio="439" xr2:uid="{00000000-000D-0000-FFFF-FFFF00000000}"/>
  </bookViews>
  <sheets>
    <sheet name="テーブル" sheetId="7" r:id="rId1"/>
    <sheet name="データＡ表" sheetId="10" r:id="rId2"/>
    <sheet name="データＢ表" sheetId="11" r:id="rId3"/>
    <sheet name="計算表" sheetId="12" r:id="rId4"/>
  </sheets>
  <definedNames>
    <definedName name="_xlnm._FilterDatabase" localSheetId="1" hidden="1">データＡ表!$B$1:$D$15</definedName>
    <definedName name="_xlnm._FilterDatabase" localSheetId="2" hidden="1">データＢ表!#REF!</definedName>
    <definedName name="_xlnm._FilterDatabase" localSheetId="0" hidden="1">テーブル!#REF!</definedName>
    <definedName name="_xlnm._FilterDatabase" localSheetId="3" hidden="1">計算表!#REF!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G7" i="12"/>
  <c r="G6" i="12"/>
  <c r="G5" i="12"/>
  <c r="G4" i="12"/>
  <c r="G3" i="12"/>
  <c r="N3" i="12"/>
  <c r="N2" i="12"/>
  <c r="F12" i="11"/>
  <c r="F10" i="11"/>
  <c r="F20" i="11"/>
  <c r="F2" i="11"/>
  <c r="G2" i="11" s="1"/>
  <c r="F18" i="11"/>
  <c r="F11" i="11"/>
  <c r="F15" i="11"/>
  <c r="F14" i="11"/>
  <c r="F4" i="11"/>
  <c r="F22" i="11"/>
  <c r="F24" i="11"/>
  <c r="F6" i="11"/>
  <c r="F7" i="11"/>
  <c r="F8" i="11"/>
  <c r="F25" i="11"/>
  <c r="F21" i="11"/>
  <c r="F9" i="11"/>
  <c r="F5" i="11"/>
  <c r="F13" i="11"/>
  <c r="F23" i="11"/>
  <c r="F3" i="11"/>
  <c r="F17" i="11"/>
  <c r="F19" i="11"/>
  <c r="F16" i="11"/>
  <c r="H20" i="10"/>
  <c r="H18" i="10"/>
  <c r="H8" i="10"/>
  <c r="H6" i="10"/>
  <c r="H4" i="10"/>
  <c r="H14" i="10"/>
  <c r="H10" i="10"/>
  <c r="H22" i="10"/>
  <c r="H19" i="10"/>
  <c r="H7" i="10"/>
  <c r="H16" i="10"/>
  <c r="H3" i="10"/>
  <c r="H17" i="10"/>
  <c r="H15" i="10"/>
  <c r="H25" i="10"/>
  <c r="H11" i="10"/>
  <c r="H21" i="10"/>
  <c r="H2" i="10"/>
  <c r="H12" i="10"/>
  <c r="H5" i="10"/>
  <c r="H24" i="10"/>
  <c r="H13" i="10"/>
  <c r="H9" i="10"/>
  <c r="H23" i="10"/>
  <c r="E4" i="12" l="1"/>
  <c r="E3" i="12"/>
  <c r="E5" i="12"/>
  <c r="E6" i="12"/>
  <c r="E7" i="12"/>
  <c r="E8" i="12"/>
  <c r="B4" i="12" l="1"/>
  <c r="F4" i="12"/>
  <c r="J4" i="12" s="1"/>
  <c r="F5" i="12"/>
  <c r="F6" i="12"/>
  <c r="F7" i="12"/>
  <c r="F8" i="12"/>
  <c r="F3" i="12"/>
  <c r="J8" i="12" l="1"/>
  <c r="J7" i="12"/>
  <c r="J3" i="12"/>
  <c r="J5" i="12"/>
  <c r="J6" i="12"/>
  <c r="D27" i="11"/>
  <c r="E27" i="11"/>
  <c r="C27" i="11"/>
  <c r="D2" i="10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G3" i="11"/>
  <c r="G9" i="11"/>
  <c r="G4" i="11"/>
  <c r="G5" i="11"/>
  <c r="G6" i="11"/>
  <c r="G7" i="11"/>
  <c r="G10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F25" i="10" l="1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3" i="10"/>
  <c r="E3" i="10"/>
  <c r="F2" i="10"/>
  <c r="E2" i="10"/>
  <c r="H8" i="12"/>
  <c r="G11" i="11"/>
  <c r="H3" i="12"/>
  <c r="H4" i="12"/>
  <c r="H7" i="12"/>
  <c r="H6" i="12"/>
  <c r="D8" i="12" l="1"/>
  <c r="C8" i="12"/>
  <c r="G8" i="11"/>
  <c r="G27" i="11" s="1"/>
  <c r="C6" i="12"/>
  <c r="C7" i="12"/>
  <c r="C3" i="12"/>
  <c r="C4" i="12"/>
  <c r="C5" i="12"/>
  <c r="H5" i="12" l="1"/>
  <c r="B8" i="12"/>
  <c r="B3" i="12"/>
  <c r="B7" i="12"/>
  <c r="B6" i="12" l="1"/>
  <c r="B5" i="12"/>
  <c r="E10" i="12" l="1"/>
  <c r="C10" i="12" l="1"/>
  <c r="F10" i="12" l="1"/>
  <c r="J10" i="12" l="1"/>
  <c r="H10" i="12"/>
  <c r="D5" i="12"/>
  <c r="D3" i="12"/>
  <c r="D4" i="12"/>
  <c r="D6" i="12"/>
  <c r="D7" i="12"/>
  <c r="I7" i="12"/>
  <c r="I6" i="12"/>
  <c r="I5" i="12"/>
  <c r="K5" i="12" s="1"/>
  <c r="I3" i="12"/>
  <c r="I4" i="12"/>
  <c r="I8" i="12"/>
  <c r="K8" i="12" s="1"/>
  <c r="K6" i="12" l="1"/>
  <c r="D10" i="12"/>
  <c r="I10" i="12"/>
  <c r="K7" i="12"/>
  <c r="K3" i="12"/>
  <c r="K4" i="12"/>
  <c r="K10" i="12" l="1"/>
</calcChain>
</file>

<file path=xl/sharedStrings.xml><?xml version="1.0" encoding="utf-8"?>
<sst xmlns="http://schemas.openxmlformats.org/spreadsheetml/2006/main" count="139" uniqueCount="63">
  <si>
    <t>社員名</t>
    <rPh sb="0" eb="2">
      <t>シャイン</t>
    </rPh>
    <rPh sb="2" eb="3">
      <t>メイ</t>
    </rPh>
    <phoneticPr fontId="3"/>
  </si>
  <si>
    <t>出発日</t>
    <rPh sb="0" eb="2">
      <t>シュッパツ</t>
    </rPh>
    <rPh sb="2" eb="3">
      <t>ビ</t>
    </rPh>
    <phoneticPr fontId="3"/>
  </si>
  <si>
    <t>帰着日</t>
    <rPh sb="0" eb="2">
      <t>キチャク</t>
    </rPh>
    <rPh sb="2" eb="3">
      <t>ビ</t>
    </rPh>
    <phoneticPr fontId="3"/>
  </si>
  <si>
    <t>出張手当</t>
    <rPh sb="0" eb="4">
      <t>シュッチョウテアテ</t>
    </rPh>
    <phoneticPr fontId="3"/>
  </si>
  <si>
    <t>＜社員テーブル＞</t>
    <rPh sb="1" eb="3">
      <t>シャイン</t>
    </rPh>
    <phoneticPr fontId="3"/>
  </si>
  <si>
    <t>合　計</t>
    <rPh sb="0" eb="1">
      <t>ゴウ</t>
    </rPh>
    <rPh sb="2" eb="3">
      <t>ケイ</t>
    </rPh>
    <phoneticPr fontId="3"/>
  </si>
  <si>
    <t>ＣＯ</t>
    <phoneticPr fontId="3"/>
  </si>
  <si>
    <t>ＣＯ</t>
    <phoneticPr fontId="3"/>
  </si>
  <si>
    <t xml:space="preserve"> </t>
    <phoneticPr fontId="3"/>
  </si>
  <si>
    <t>出張日数</t>
    <rPh sb="0" eb="2">
      <t>シュッチョウ</t>
    </rPh>
    <rPh sb="2" eb="4">
      <t>ニッスウ</t>
    </rPh>
    <phoneticPr fontId="3"/>
  </si>
  <si>
    <t>特別手当</t>
    <rPh sb="0" eb="2">
      <t>トクベツ</t>
    </rPh>
    <rPh sb="2" eb="4">
      <t>テアテ</t>
    </rPh>
    <phoneticPr fontId="3"/>
  </si>
  <si>
    <t>総支給額</t>
  </si>
  <si>
    <t>商談数</t>
    <rPh sb="0" eb="2">
      <t>ショウダン</t>
    </rPh>
    <rPh sb="2" eb="3">
      <t>スウ</t>
    </rPh>
    <phoneticPr fontId="3"/>
  </si>
  <si>
    <t>営業手当</t>
    <rPh sb="0" eb="2">
      <t>エイギョウ</t>
    </rPh>
    <rPh sb="2" eb="4">
      <t>テアテ</t>
    </rPh>
    <phoneticPr fontId="3"/>
  </si>
  <si>
    <t>A</t>
    <phoneticPr fontId="3"/>
  </si>
  <si>
    <t>B</t>
    <phoneticPr fontId="3"/>
  </si>
  <si>
    <t>C</t>
    <phoneticPr fontId="3"/>
  </si>
  <si>
    <t>宿泊手当</t>
    <rPh sb="0" eb="2">
      <t>シュクハク</t>
    </rPh>
    <rPh sb="2" eb="4">
      <t>テアテ</t>
    </rPh>
    <phoneticPr fontId="3"/>
  </si>
  <si>
    <t>等級</t>
    <rPh sb="0" eb="2">
      <t>トウキュウ</t>
    </rPh>
    <phoneticPr fontId="3"/>
  </si>
  <si>
    <t>　</t>
    <phoneticPr fontId="3"/>
  </si>
  <si>
    <t>月目標額(万)</t>
    <rPh sb="0" eb="1">
      <t>ガツ</t>
    </rPh>
    <rPh sb="1" eb="3">
      <t>モクヒョウ</t>
    </rPh>
    <rPh sb="3" eb="4">
      <t>ガク</t>
    </rPh>
    <rPh sb="5" eb="6">
      <t>マン</t>
    </rPh>
    <phoneticPr fontId="3"/>
  </si>
  <si>
    <t>106B</t>
    <phoneticPr fontId="3"/>
  </si>
  <si>
    <t xml:space="preserve"> </t>
    <phoneticPr fontId="3"/>
  </si>
  <si>
    <t>106B</t>
  </si>
  <si>
    <t>＜乗率表＞</t>
    <rPh sb="1" eb="3">
      <t>ジョウリツ</t>
    </rPh>
    <rPh sb="3" eb="4">
      <t>ヒョウ</t>
    </rPh>
    <phoneticPr fontId="3"/>
  </si>
  <si>
    <t>達成率</t>
    <rPh sb="0" eb="3">
      <t>タッセイリツ</t>
    </rPh>
    <phoneticPr fontId="3"/>
  </si>
  <si>
    <t>社　員　別　総　支　給　額　計　算　表</t>
    <rPh sb="0" eb="1">
      <t>シャ</t>
    </rPh>
    <rPh sb="2" eb="3">
      <t>イン</t>
    </rPh>
    <rPh sb="4" eb="5">
      <t>ベツ</t>
    </rPh>
    <rPh sb="6" eb="7">
      <t>ソウ</t>
    </rPh>
    <rPh sb="8" eb="9">
      <t>シ</t>
    </rPh>
    <rPh sb="10" eb="11">
      <t>キュウ</t>
    </rPh>
    <rPh sb="12" eb="13">
      <t>ガク</t>
    </rPh>
    <rPh sb="14" eb="15">
      <t>ケイ</t>
    </rPh>
    <rPh sb="16" eb="17">
      <t>ザン</t>
    </rPh>
    <rPh sb="18" eb="19">
      <t>オモテ</t>
    </rPh>
    <phoneticPr fontId="3"/>
  </si>
  <si>
    <t>出張単価</t>
    <rPh sb="0" eb="2">
      <t>シュッチョウ</t>
    </rPh>
    <rPh sb="2" eb="4">
      <t>タンカ</t>
    </rPh>
    <phoneticPr fontId="3"/>
  </si>
  <si>
    <t>出張基本単価</t>
    <rPh sb="0" eb="2">
      <t>シュッチョウ</t>
    </rPh>
    <rPh sb="2" eb="4">
      <t>キホン</t>
    </rPh>
    <rPh sb="4" eb="6">
      <t>タンカ</t>
    </rPh>
    <phoneticPr fontId="3"/>
  </si>
  <si>
    <t>宿泊基本単価</t>
    <rPh sb="0" eb="2">
      <t>シュクハク</t>
    </rPh>
    <rPh sb="2" eb="4">
      <t>キホン</t>
    </rPh>
    <rPh sb="4" eb="6">
      <t>タンカ</t>
    </rPh>
    <phoneticPr fontId="3"/>
  </si>
  <si>
    <t>101B</t>
  </si>
  <si>
    <t>101B</t>
    <phoneticPr fontId="3"/>
  </si>
  <si>
    <t>102A</t>
  </si>
  <si>
    <t>102A</t>
    <phoneticPr fontId="3"/>
  </si>
  <si>
    <t>103C</t>
  </si>
  <si>
    <t>103C</t>
    <phoneticPr fontId="3"/>
  </si>
  <si>
    <t>104A</t>
  </si>
  <si>
    <t>104A</t>
    <phoneticPr fontId="3"/>
  </si>
  <si>
    <t>105C</t>
  </si>
  <si>
    <t>105C</t>
    <phoneticPr fontId="3"/>
  </si>
  <si>
    <t>宿泊単価</t>
    <rPh sb="0" eb="2">
      <t>シュクハク</t>
    </rPh>
    <rPh sb="2" eb="4">
      <t>タンカ</t>
    </rPh>
    <phoneticPr fontId="3"/>
  </si>
  <si>
    <t>＜基本単価テーブル＞</t>
    <rPh sb="1" eb="3">
      <t>キホン</t>
    </rPh>
    <rPh sb="3" eb="5">
      <t>タンカ</t>
    </rPh>
    <phoneticPr fontId="3"/>
  </si>
  <si>
    <t>売上数</t>
    <rPh sb="0" eb="2">
      <t>ウリアゲ</t>
    </rPh>
    <rPh sb="2" eb="3">
      <t>カズ</t>
    </rPh>
    <phoneticPr fontId="3"/>
  </si>
  <si>
    <t>売上額</t>
    <rPh sb="0" eb="2">
      <t>ウリアゲ</t>
    </rPh>
    <rPh sb="2" eb="3">
      <t>ガク</t>
    </rPh>
    <phoneticPr fontId="3"/>
  </si>
  <si>
    <t>売上数</t>
    <rPh sb="0" eb="2">
      <t>ウリアゲ</t>
    </rPh>
    <rPh sb="2" eb="3">
      <t>スウ</t>
    </rPh>
    <phoneticPr fontId="3"/>
  </si>
  <si>
    <t>走行距離</t>
    <rPh sb="0" eb="2">
      <t>ソウコウ</t>
    </rPh>
    <rPh sb="2" eb="4">
      <t>キョリ</t>
    </rPh>
    <phoneticPr fontId="3"/>
  </si>
  <si>
    <t>運転単価</t>
    <rPh sb="0" eb="2">
      <t>ウンテン</t>
    </rPh>
    <rPh sb="2" eb="4">
      <t>タンカ</t>
    </rPh>
    <phoneticPr fontId="3"/>
  </si>
  <si>
    <t>運転単価</t>
    <rPh sb="0" eb="4">
      <t>ウンテンタンカ</t>
    </rPh>
    <phoneticPr fontId="3"/>
  </si>
  <si>
    <t>運転手当</t>
    <rPh sb="0" eb="2">
      <t>ウンテン</t>
    </rPh>
    <rPh sb="2" eb="4">
      <t>テアテ</t>
    </rPh>
    <phoneticPr fontId="3"/>
  </si>
  <si>
    <t>売上率</t>
    <rPh sb="0" eb="2">
      <t>ウリアゲ</t>
    </rPh>
    <rPh sb="2" eb="3">
      <t>リツ</t>
    </rPh>
    <phoneticPr fontId="3"/>
  </si>
  <si>
    <t>勝間田　正</t>
    <rPh sb="0" eb="3">
      <t>カツマタ</t>
    </rPh>
    <rPh sb="4" eb="5">
      <t>タダシ</t>
    </rPh>
    <phoneticPr fontId="3"/>
  </si>
  <si>
    <t>平林　愛理</t>
    <rPh sb="0" eb="2">
      <t>ヒラバヤシ</t>
    </rPh>
    <rPh sb="3" eb="5">
      <t>アイリ</t>
    </rPh>
    <phoneticPr fontId="3"/>
  </si>
  <si>
    <t>南　雄一郎</t>
    <rPh sb="0" eb="1">
      <t>ミナミ</t>
    </rPh>
    <rPh sb="2" eb="5">
      <t>ユウイチロウ</t>
    </rPh>
    <phoneticPr fontId="3"/>
  </si>
  <si>
    <t>鈴木　冬美</t>
    <rPh sb="0" eb="2">
      <t>スズキ</t>
    </rPh>
    <rPh sb="3" eb="5">
      <t>フユミ</t>
    </rPh>
    <phoneticPr fontId="3"/>
  </si>
  <si>
    <t>後藤　徳雄</t>
    <rPh sb="0" eb="2">
      <t>ゴトウ</t>
    </rPh>
    <rPh sb="3" eb="5">
      <t>トクオ</t>
    </rPh>
    <phoneticPr fontId="3"/>
  </si>
  <si>
    <t>佐山　恵美</t>
    <rPh sb="0" eb="2">
      <t>サヤマ</t>
    </rPh>
    <rPh sb="3" eb="5">
      <t>メグミ</t>
    </rPh>
    <phoneticPr fontId="3"/>
  </si>
  <si>
    <t>&gt;=20</t>
    <phoneticPr fontId="3"/>
  </si>
  <si>
    <t>&lt;30</t>
    <phoneticPr fontId="3"/>
  </si>
  <si>
    <t>&lt;=4</t>
    <phoneticPr fontId="3"/>
  </si>
  <si>
    <t>ＣＯが102Aまたは出張日数が4日以下の走行距離の合計</t>
    <rPh sb="10" eb="12">
      <t>シュッチョウ</t>
    </rPh>
    <rPh sb="12" eb="14">
      <t>ニッスウ</t>
    </rPh>
    <rPh sb="16" eb="17">
      <t>ニチ</t>
    </rPh>
    <rPh sb="17" eb="19">
      <t>イカ</t>
    </rPh>
    <rPh sb="20" eb="22">
      <t>ソウコウ</t>
    </rPh>
    <rPh sb="22" eb="24">
      <t>キョリ</t>
    </rPh>
    <rPh sb="25" eb="27">
      <t>ゴウケイ</t>
    </rPh>
    <phoneticPr fontId="3"/>
  </si>
  <si>
    <t>売上数が20以上30未満で売上率が60.0%未満の件数</t>
    <rPh sb="0" eb="2">
      <t>ウリアゲ</t>
    </rPh>
    <rPh sb="2" eb="3">
      <t>スウ</t>
    </rPh>
    <rPh sb="6" eb="8">
      <t>イジョウ</t>
    </rPh>
    <rPh sb="10" eb="12">
      <t>ミマン</t>
    </rPh>
    <rPh sb="13" eb="15">
      <t>ウリアゲ</t>
    </rPh>
    <rPh sb="15" eb="16">
      <t>リツ</t>
    </rPh>
    <rPh sb="22" eb="24">
      <t>ミマン</t>
    </rPh>
    <rPh sb="25" eb="27">
      <t>ケンスウ</t>
    </rPh>
    <phoneticPr fontId="3"/>
  </si>
  <si>
    <t>＜運転単価表＞</t>
    <rPh sb="1" eb="5">
      <t>ウンテンタンカ</t>
    </rPh>
    <rPh sb="5" eb="6">
      <t>ヒョウ</t>
    </rPh>
    <phoneticPr fontId="3"/>
  </si>
  <si>
    <t>&lt;60.0%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</si>
</sst>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3" fontId="1" fillId="0" borderId="11" xfId="0" applyNumberFormat="1" applyFont="1" applyBorder="1">
      <alignment vertical="center"/>
    </xf>
    <xf numFmtId="38" fontId="1" fillId="0" borderId="1" xfId="1" applyFont="1" applyBorder="1">
      <alignment vertical="center"/>
    </xf>
    <xf numFmtId="38" fontId="1" fillId="0" borderId="0" xfId="1" applyFont="1" applyBorder="1">
      <alignment vertical="center"/>
    </xf>
    <xf numFmtId="38" fontId="0" fillId="0" borderId="11" xfId="0" applyNumberFormat="1" applyBorder="1">
      <alignment vertical="center"/>
    </xf>
    <xf numFmtId="9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>
      <alignment vertical="center"/>
    </xf>
    <xf numFmtId="38" fontId="1" fillId="0" borderId="4" xfId="1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38" fontId="0" fillId="0" borderId="0" xfId="1" applyFont="1" applyBorder="1">
      <alignment vertical="center"/>
    </xf>
    <xf numFmtId="0" fontId="4" fillId="0" borderId="0" xfId="0" applyFont="1" applyAlignment="1">
      <alignment horizontal="center" vertical="center"/>
    </xf>
    <xf numFmtId="38" fontId="0" fillId="0" borderId="1" xfId="1" applyFont="1" applyBorder="1" applyAlignment="1">
      <alignment vertical="center"/>
    </xf>
    <xf numFmtId="14" fontId="0" fillId="0" borderId="1" xfId="0" applyNumberFormat="1" applyBorder="1">
      <alignment vertical="center"/>
    </xf>
    <xf numFmtId="38" fontId="1" fillId="0" borderId="1" xfId="1" applyFont="1" applyFill="1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9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176" fontId="0" fillId="0" borderId="1" xfId="2" applyNumberFormat="1" applyFont="1" applyFill="1" applyBorder="1" applyAlignment="1">
      <alignment horizontal="right" vertical="center"/>
    </xf>
    <xf numFmtId="38" fontId="0" fillId="0" borderId="6" xfId="1" applyFont="1" applyFill="1" applyBorder="1" applyAlignment="1">
      <alignment horizontal="right"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8" xfId="1" applyFont="1" applyBorder="1">
      <alignment vertical="center"/>
    </xf>
    <xf numFmtId="176" fontId="1" fillId="0" borderId="1" xfId="2" applyNumberFormat="1" applyFont="1" applyFill="1" applyBorder="1" applyAlignment="1">
      <alignment horizontal="right" vertical="center"/>
    </xf>
    <xf numFmtId="10" fontId="0" fillId="0" borderId="0" xfId="0" applyNumberFormat="1" applyAlignment="1">
      <alignment horizontal="center" vertical="center"/>
    </xf>
    <xf numFmtId="14" fontId="0" fillId="0" borderId="8" xfId="0" applyNumberFormat="1" applyBorder="1">
      <alignment vertical="center"/>
    </xf>
    <xf numFmtId="38" fontId="1" fillId="0" borderId="8" xfId="1" applyFont="1" applyFill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56" fontId="0" fillId="0" borderId="5" xfId="0" applyNumberFormat="1" applyBorder="1">
      <alignment vertical="center"/>
    </xf>
    <xf numFmtId="176" fontId="1" fillId="0" borderId="1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社員別の比較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計算表!$F$2</c:f>
              <c:strCache>
                <c:ptCount val="1"/>
                <c:pt idx="0">
                  <c:v>売上額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計算表!$B$3:$B$8</c:f>
              <c:strCache>
                <c:ptCount val="6"/>
                <c:pt idx="0">
                  <c:v>佐山　恵美</c:v>
                </c:pt>
                <c:pt idx="1">
                  <c:v>勝間田　正</c:v>
                </c:pt>
                <c:pt idx="2">
                  <c:v>平林　愛理</c:v>
                </c:pt>
                <c:pt idx="3">
                  <c:v>南　雄一郎</c:v>
                </c:pt>
                <c:pt idx="4">
                  <c:v>鈴木　冬美</c:v>
                </c:pt>
                <c:pt idx="5">
                  <c:v>後藤　徳雄</c:v>
                </c:pt>
              </c:strCache>
            </c:strRef>
          </c:cat>
          <c:val>
            <c:numRef>
              <c:f>計算表!$F$3:$F$8</c:f>
              <c:numCache>
                <c:formatCode>#,##0_);[Red]\(#,##0\)</c:formatCode>
                <c:ptCount val="6"/>
                <c:pt idx="0">
                  <c:v>8050000</c:v>
                </c:pt>
                <c:pt idx="1">
                  <c:v>7530000</c:v>
                </c:pt>
                <c:pt idx="2">
                  <c:v>8540000</c:v>
                </c:pt>
                <c:pt idx="3">
                  <c:v>8780000</c:v>
                </c:pt>
                <c:pt idx="4">
                  <c:v>8990000</c:v>
                </c:pt>
                <c:pt idx="5">
                  <c:v>9690000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57-4ED3-A187-FE2BC9D8B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440512"/>
        <c:axId val="77442432"/>
      </c:barChart>
      <c:lineChart>
        <c:grouping val="stacked"/>
        <c:varyColors val="0"/>
        <c:ser>
          <c:idx val="1"/>
          <c:order val="0"/>
          <c:tx>
            <c:strRef>
              <c:f>計算表!$E$2</c:f>
              <c:strCache>
                <c:ptCount val="1"/>
                <c:pt idx="0">
                  <c:v>売上数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計算表!$B$3:$B$8</c:f>
              <c:strCache>
                <c:ptCount val="6"/>
                <c:pt idx="0">
                  <c:v>佐山　恵美</c:v>
                </c:pt>
                <c:pt idx="1">
                  <c:v>勝間田　正</c:v>
                </c:pt>
                <c:pt idx="2">
                  <c:v>平林　愛理</c:v>
                </c:pt>
                <c:pt idx="3">
                  <c:v>南　雄一郎</c:v>
                </c:pt>
                <c:pt idx="4">
                  <c:v>鈴木　冬美</c:v>
                </c:pt>
                <c:pt idx="5">
                  <c:v>後藤　徳雄</c:v>
                </c:pt>
              </c:strCache>
            </c:strRef>
          </c:cat>
          <c:val>
            <c:numRef>
              <c:f>計算表!$E$3:$E$8</c:f>
              <c:numCache>
                <c:formatCode>#,##0_);[Red]\(#,##0\)</c:formatCode>
                <c:ptCount val="6"/>
                <c:pt idx="0">
                  <c:v>83</c:v>
                </c:pt>
                <c:pt idx="1">
                  <c:v>86</c:v>
                </c:pt>
                <c:pt idx="2">
                  <c:v>83</c:v>
                </c:pt>
                <c:pt idx="3">
                  <c:v>105</c:v>
                </c:pt>
                <c:pt idx="4">
                  <c:v>97</c:v>
                </c:pt>
                <c:pt idx="5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57-4ED3-A187-FE2BC9D8B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99008"/>
        <c:axId val="77497472"/>
      </c:lineChart>
      <c:catAx>
        <c:axId val="7744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77442432"/>
        <c:crosses val="autoZero"/>
        <c:auto val="1"/>
        <c:lblAlgn val="ctr"/>
        <c:lblOffset val="100"/>
        <c:noMultiLvlLbl val="0"/>
      </c:catAx>
      <c:valAx>
        <c:axId val="774424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[Red]\(#,##0\)" sourceLinked="1"/>
        <c:majorTickMark val="in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77440512"/>
        <c:crosses val="autoZero"/>
        <c:crossBetween val="between"/>
      </c:valAx>
      <c:valAx>
        <c:axId val="77497472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txPr>
          <a:bodyPr/>
          <a:lstStyle/>
          <a:p>
            <a:pPr>
              <a:defRPr sz="110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77499008"/>
        <c:crosses val="max"/>
        <c:crossBetween val="between"/>
      </c:valAx>
      <c:catAx>
        <c:axId val="77499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497472"/>
        <c:crosses val="autoZero"/>
        <c:auto val="1"/>
        <c:lblAlgn val="ctr"/>
        <c:lblOffset val="100"/>
        <c:noMultiLvlLbl val="0"/>
      </c:catAx>
      <c:spPr>
        <a:ln>
          <a:solidFill>
            <a:sysClr val="window" lastClr="FFFFFF">
              <a:lumMod val="65000"/>
            </a:sysClr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>
      <c:oddHeader>&amp;A</c:oddHeader>
      <c:oddFooter>Page &amp;P</c:oddFooter>
    </c:headerFooter>
    <c:pageMargins b="0.75" l="0.7" r="0.7" t="0.75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sz="1100"/>
              <a:t>社員別の集計グラフ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計算表!$F$2</c:f>
              <c:strCache>
                <c:ptCount val="1"/>
                <c:pt idx="0">
                  <c:v>売上額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計算表!$B$3:$B$8</c:f>
              <c:strCache>
                <c:ptCount val="6"/>
                <c:pt idx="0">
                  <c:v>佐山　恵美</c:v>
                </c:pt>
                <c:pt idx="1">
                  <c:v>勝間田　正</c:v>
                </c:pt>
                <c:pt idx="2">
                  <c:v>平林　愛理</c:v>
                </c:pt>
                <c:pt idx="3">
                  <c:v>南　雄一郎</c:v>
                </c:pt>
                <c:pt idx="4">
                  <c:v>鈴木　冬美</c:v>
                </c:pt>
                <c:pt idx="5">
                  <c:v>後藤　徳雄</c:v>
                </c:pt>
              </c:strCache>
            </c:strRef>
          </c:cat>
          <c:val>
            <c:numRef>
              <c:f>計算表!$F$3:$F$8</c:f>
              <c:numCache>
                <c:formatCode>#,##0_);[Red]\(#,##0\)</c:formatCode>
                <c:ptCount val="6"/>
                <c:pt idx="0">
                  <c:v>8050000</c:v>
                </c:pt>
                <c:pt idx="1">
                  <c:v>7530000</c:v>
                </c:pt>
                <c:pt idx="2">
                  <c:v>8540000</c:v>
                </c:pt>
                <c:pt idx="3">
                  <c:v>8780000</c:v>
                </c:pt>
                <c:pt idx="4">
                  <c:v>8990000</c:v>
                </c:pt>
                <c:pt idx="5">
                  <c:v>9690000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計算表!$E$2</c:f>
              <c:strCache>
                <c:ptCount val="1"/>
                <c:pt idx="0">
                  <c:v>売上数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計算表!$B$3:$B$8</c:f>
              <c:strCache>
                <c:ptCount val="6"/>
                <c:pt idx="0">
                  <c:v>佐山　恵美</c:v>
                </c:pt>
                <c:pt idx="1">
                  <c:v>勝間田　正</c:v>
                </c:pt>
                <c:pt idx="2">
                  <c:v>平林　愛理</c:v>
                </c:pt>
                <c:pt idx="3">
                  <c:v>南　雄一郎</c:v>
                </c:pt>
                <c:pt idx="4">
                  <c:v>鈴木　冬美</c:v>
                </c:pt>
                <c:pt idx="5">
                  <c:v>後藤　徳雄</c:v>
                </c:pt>
              </c:strCache>
            </c:strRef>
          </c:cat>
          <c:val>
            <c:numRef>
              <c:f>計算表!$E$3:$E$8</c:f>
              <c:numCache>
                <c:formatCode>#,##0_);[Red]\(#,##0\)</c:formatCode>
                <c:ptCount val="6"/>
                <c:pt idx="0">
                  <c:v>83</c:v>
                </c:pt>
                <c:pt idx="1">
                  <c:v>86</c:v>
                </c:pt>
                <c:pt idx="2">
                  <c:v>83</c:v>
                </c:pt>
                <c:pt idx="3">
                  <c:v>105</c:v>
                </c:pt>
                <c:pt idx="4">
                  <c:v>97</c:v>
                </c:pt>
                <c:pt idx="5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75081</xdr:rowOff>
    </xdr:from>
    <xdr:to>
      <xdr:col>0</xdr:col>
      <xdr:colOff>56029</xdr:colOff>
      <xdr:row>44</xdr:row>
      <xdr:rowOff>100854</xdr:rowOff>
    </xdr:to>
    <xdr:graphicFrame macro="">
      <xdr:nvGraphicFramePr>
        <xdr:cNvPr id="2" name="グラフ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238126</xdr:colOff>
      <xdr:row>17</xdr:row>
      <xdr:rowOff>33337</xdr:rowOff>
    </xdr:from>
    <xdr:to>
      <xdr:col>12</xdr:col>
      <xdr:colOff>3143249</xdr:colOff>
      <xdr:row>33</xdr:row>
      <xdr:rowOff>33337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F16678B-AAAF-434E-BB97-EBA358971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tabSelected="1" zoomScaleNormal="100" workbookViewId="0"/>
  </sheetViews>
  <sheetFormatPr defaultRowHeight="13.5"/>
  <cols>
    <col min="1" max="1" width="5.5" bestFit="1" customWidth="1"/>
    <col min="2" max="3" width="13.875" bestFit="1" customWidth="1"/>
    <col min="4" max="4" width="5.5" customWidth="1"/>
    <col min="5" max="5" width="9.5" customWidth="1"/>
    <col min="6" max="6" width="9.5" bestFit="1" customWidth="1"/>
    <col min="7" max="7" width="5.5" customWidth="1"/>
    <col min="8" max="8" width="7.5" bestFit="1" customWidth="1"/>
    <col min="9" max="12" width="5.5" bestFit="1" customWidth="1"/>
    <col min="13" max="13" width="5.5" customWidth="1"/>
    <col min="14" max="14" width="5.5" bestFit="1" customWidth="1"/>
    <col min="15" max="15" width="11.625" bestFit="1" customWidth="1"/>
    <col min="16" max="16" width="13.875" bestFit="1" customWidth="1"/>
    <col min="17" max="17" width="4.75" customWidth="1"/>
  </cols>
  <sheetData>
    <row r="1" spans="1:17" s="1" customFormat="1">
      <c r="A1" t="s">
        <v>41</v>
      </c>
      <c r="B1"/>
      <c r="C1"/>
      <c r="E1" t="s">
        <v>61</v>
      </c>
      <c r="H1" t="s">
        <v>24</v>
      </c>
      <c r="I1"/>
      <c r="J1"/>
      <c r="K1"/>
      <c r="L1"/>
      <c r="N1" t="s">
        <v>4</v>
      </c>
      <c r="O1"/>
      <c r="P1"/>
      <c r="Q1"/>
    </row>
    <row r="2" spans="1:17">
      <c r="A2" s="3" t="s">
        <v>18</v>
      </c>
      <c r="B2" s="3" t="s">
        <v>28</v>
      </c>
      <c r="C2" s="3" t="s">
        <v>29</v>
      </c>
      <c r="E2" s="3" t="s">
        <v>45</v>
      </c>
      <c r="F2" s="3" t="s">
        <v>47</v>
      </c>
      <c r="H2" s="52" t="s">
        <v>49</v>
      </c>
      <c r="I2" s="53" t="s">
        <v>44</v>
      </c>
      <c r="J2" s="54"/>
      <c r="K2" s="54"/>
      <c r="L2" s="55"/>
      <c r="N2" s="3" t="s">
        <v>7</v>
      </c>
      <c r="O2" s="3" t="s">
        <v>0</v>
      </c>
      <c r="P2" s="3" t="s">
        <v>20</v>
      </c>
      <c r="Q2" s="1"/>
    </row>
    <row r="3" spans="1:17">
      <c r="A3" s="2" t="s">
        <v>14</v>
      </c>
      <c r="B3" s="17">
        <v>2900</v>
      </c>
      <c r="C3" s="17">
        <v>3800</v>
      </c>
      <c r="E3" s="2">
        <v>1</v>
      </c>
      <c r="F3" s="2">
        <v>12</v>
      </c>
      <c r="H3" s="52"/>
      <c r="I3" s="29">
        <v>0</v>
      </c>
      <c r="J3" s="29">
        <v>20</v>
      </c>
      <c r="K3" s="29">
        <v>25</v>
      </c>
      <c r="L3" s="29">
        <v>30</v>
      </c>
      <c r="N3" s="2" t="s">
        <v>31</v>
      </c>
      <c r="O3" s="2" t="s">
        <v>50</v>
      </c>
      <c r="P3" s="17">
        <v>793</v>
      </c>
    </row>
    <row r="4" spans="1:17">
      <c r="A4" s="2" t="s">
        <v>15</v>
      </c>
      <c r="B4" s="17">
        <v>2800</v>
      </c>
      <c r="C4" s="17">
        <v>3700</v>
      </c>
      <c r="E4" s="2">
        <v>250</v>
      </c>
      <c r="F4" s="2">
        <v>13</v>
      </c>
      <c r="H4" s="36">
        <v>0</v>
      </c>
      <c r="I4" s="41">
        <v>0</v>
      </c>
      <c r="J4" s="41">
        <v>5.000000000000001E-3</v>
      </c>
      <c r="K4" s="41">
        <v>0.01</v>
      </c>
      <c r="L4" s="41">
        <v>1.4999999999999999E-2</v>
      </c>
      <c r="N4" s="2" t="s">
        <v>33</v>
      </c>
      <c r="O4" s="2" t="s">
        <v>51</v>
      </c>
      <c r="P4" s="17">
        <v>796</v>
      </c>
    </row>
    <row r="5" spans="1:17">
      <c r="A5" s="2" t="s">
        <v>16</v>
      </c>
      <c r="B5" s="17">
        <v>2700</v>
      </c>
      <c r="C5" s="17">
        <v>3600</v>
      </c>
      <c r="E5" s="2">
        <v>350</v>
      </c>
      <c r="F5" s="2">
        <v>14</v>
      </c>
      <c r="H5" s="36">
        <v>0.4</v>
      </c>
      <c r="I5" s="41">
        <v>1E-3</v>
      </c>
      <c r="J5" s="41">
        <v>6.0000000000000001E-3</v>
      </c>
      <c r="K5" s="41">
        <v>1.0999999999999999E-2</v>
      </c>
      <c r="L5" s="41">
        <v>1.6E-2</v>
      </c>
      <c r="N5" s="2" t="s">
        <v>35</v>
      </c>
      <c r="O5" s="2" t="s">
        <v>52</v>
      </c>
      <c r="P5" s="17">
        <v>885</v>
      </c>
    </row>
    <row r="6" spans="1:17">
      <c r="B6" s="27"/>
      <c r="C6" s="27"/>
      <c r="E6" s="2">
        <v>450</v>
      </c>
      <c r="F6" s="2">
        <v>15</v>
      </c>
      <c r="H6" s="36">
        <v>0.5</v>
      </c>
      <c r="I6" s="41">
        <v>2E-3</v>
      </c>
      <c r="J6" s="41">
        <v>7.0000000000000001E-3</v>
      </c>
      <c r="K6" s="41">
        <v>1.2E-2</v>
      </c>
      <c r="L6" s="41">
        <v>1.7000000000000001E-2</v>
      </c>
      <c r="N6" s="2" t="s">
        <v>37</v>
      </c>
      <c r="O6" s="2" t="s">
        <v>53</v>
      </c>
      <c r="P6" s="17">
        <v>880</v>
      </c>
    </row>
    <row r="7" spans="1:17">
      <c r="B7" s="27"/>
      <c r="C7" s="27"/>
      <c r="E7" s="2">
        <v>550</v>
      </c>
      <c r="F7" s="2">
        <v>16</v>
      </c>
      <c r="H7" s="36">
        <v>0.6</v>
      </c>
      <c r="I7" s="41">
        <v>3.0000000000000001E-3</v>
      </c>
      <c r="J7" s="41">
        <v>8.0000000000000002E-3</v>
      </c>
      <c r="K7" s="41">
        <v>1.2999999999999999E-2</v>
      </c>
      <c r="L7" s="41">
        <v>1.7999999999999999E-2</v>
      </c>
      <c r="N7" s="2" t="s">
        <v>39</v>
      </c>
      <c r="O7" s="2" t="s">
        <v>54</v>
      </c>
      <c r="P7" s="17">
        <v>931</v>
      </c>
    </row>
    <row r="8" spans="1:17">
      <c r="H8" s="36">
        <v>0.7</v>
      </c>
      <c r="I8" s="41">
        <v>4.0000000000000001E-3</v>
      </c>
      <c r="J8" s="41">
        <v>8.9999999999999993E-3</v>
      </c>
      <c r="K8" s="41">
        <v>1.4E-2</v>
      </c>
      <c r="L8" s="41">
        <v>1.9E-2</v>
      </c>
      <c r="N8" s="2" t="s">
        <v>21</v>
      </c>
      <c r="O8" s="2" t="s">
        <v>55</v>
      </c>
      <c r="P8" s="17">
        <v>830</v>
      </c>
    </row>
    <row r="15" spans="1:17">
      <c r="P15" s="23"/>
    </row>
    <row r="17" spans="1:15">
      <c r="A17" s="18"/>
      <c r="B17" s="18"/>
      <c r="C17" s="18"/>
    </row>
    <row r="18" spans="1:15">
      <c r="A18" s="18"/>
      <c r="B18" s="18"/>
      <c r="C18" s="18"/>
    </row>
    <row r="19" spans="1:15">
      <c r="A19" s="18"/>
      <c r="B19" s="18"/>
      <c r="C19" s="18"/>
    </row>
    <row r="20" spans="1:15">
      <c r="O20" t="s">
        <v>8</v>
      </c>
    </row>
    <row r="22" spans="1:15">
      <c r="N22" s="14" t="s">
        <v>19</v>
      </c>
    </row>
  </sheetData>
  <mergeCells count="2">
    <mergeCell ref="H2:H3"/>
    <mergeCell ref="I2:L2"/>
  </mergeCells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zoomScaleNormal="100" workbookViewId="0"/>
  </sheetViews>
  <sheetFormatPr defaultRowHeight="13.5"/>
  <cols>
    <col min="1" max="1" width="7.5" bestFit="1" customWidth="1"/>
    <col min="2" max="3" width="10.5" bestFit="1" customWidth="1"/>
    <col min="4" max="8" width="9.5" bestFit="1" customWidth="1"/>
  </cols>
  <sheetData>
    <row r="1" spans="1:8" s="1" customFormat="1">
      <c r="A1" s="4" t="s">
        <v>6</v>
      </c>
      <c r="B1" s="5" t="s">
        <v>1</v>
      </c>
      <c r="C1" s="5" t="s">
        <v>2</v>
      </c>
      <c r="D1" s="5" t="s">
        <v>9</v>
      </c>
      <c r="E1" s="5" t="s">
        <v>27</v>
      </c>
      <c r="F1" s="5" t="s">
        <v>40</v>
      </c>
      <c r="G1" s="5" t="s">
        <v>45</v>
      </c>
      <c r="H1" s="6" t="s">
        <v>46</v>
      </c>
    </row>
    <row r="2" spans="1:8">
      <c r="A2" s="7" t="s">
        <v>30</v>
      </c>
      <c r="B2" s="30">
        <v>45901</v>
      </c>
      <c r="C2" s="30">
        <v>45904</v>
      </c>
      <c r="D2" s="31">
        <f t="shared" ref="D2:D25" si="0">C2-B2+1</f>
        <v>4</v>
      </c>
      <c r="E2" s="31">
        <f>IF(D2&gt;=5,VLOOKUP(RIGHT(A2,1),テーブル!$A$3:$C$5,2,0)*115%,VLOOKUP(RIGHT(A2,1),テーブル!$A$3:$C$5,2,0))</f>
        <v>2800</v>
      </c>
      <c r="F2" s="31">
        <f>IF((D2-1)&gt;=4,VLOOKUP(RIGHT(A2,1),テーブル!$A$3:$C$5,3,0)*125%,VLOOKUP(RIGHT(A2,1),テーブル!$A$3:$C$5,3,0))</f>
        <v>3700</v>
      </c>
      <c r="G2" s="2">
        <v>326</v>
      </c>
      <c r="H2" s="32">
        <f>VLOOKUP(G2,テーブル!$E$3:$F$7,2,1)</f>
        <v>13</v>
      </c>
    </row>
    <row r="3" spans="1:8">
      <c r="A3" s="7" t="s">
        <v>30</v>
      </c>
      <c r="B3" s="30">
        <v>45907</v>
      </c>
      <c r="C3" s="30">
        <v>45911</v>
      </c>
      <c r="D3" s="31">
        <f t="shared" si="0"/>
        <v>5</v>
      </c>
      <c r="E3" s="31">
        <f>IF(D3&gt;=5,VLOOKUP(RIGHT(A3,1),テーブル!$A$3:$C$5,2,0)*115%,VLOOKUP(RIGHT(A3,1),テーブル!$A$3:$C$5,2,0))</f>
        <v>3219.9999999999995</v>
      </c>
      <c r="F3" s="31">
        <f>IF((D3-1)&gt;=4,VLOOKUP(RIGHT(A3,1),テーブル!$A$3:$C$5,3,0)*125%,VLOOKUP(RIGHT(A3,1),テーブル!$A$3:$C$5,3,0))</f>
        <v>4625</v>
      </c>
      <c r="G3" s="2">
        <v>387</v>
      </c>
      <c r="H3" s="32">
        <f>VLOOKUP(G3,テーブル!$E$3:$F$7,2,1)</f>
        <v>14</v>
      </c>
    </row>
    <row r="4" spans="1:8">
      <c r="A4" s="7" t="s">
        <v>30</v>
      </c>
      <c r="B4" s="30">
        <v>45915</v>
      </c>
      <c r="C4" s="30">
        <v>45920</v>
      </c>
      <c r="D4" s="31">
        <f t="shared" si="0"/>
        <v>6</v>
      </c>
      <c r="E4" s="31">
        <f>IF(D4&gt;=5,VLOOKUP(RIGHT(A4,1),テーブル!$A$3:$C$5,2,0)*115%,VLOOKUP(RIGHT(A4,1),テーブル!$A$3:$C$5,2,0))</f>
        <v>3219.9999999999995</v>
      </c>
      <c r="F4" s="31">
        <f>IF((D4-1)&gt;=4,VLOOKUP(RIGHT(A4,1),テーブル!$A$3:$C$5,3,0)*125%,VLOOKUP(RIGHT(A4,1),テーブル!$A$3:$C$5,3,0))</f>
        <v>4625</v>
      </c>
      <c r="G4" s="2">
        <v>513</v>
      </c>
      <c r="H4" s="32">
        <f>VLOOKUP(G4,テーブル!$E$3:$F$7,2,1)</f>
        <v>15</v>
      </c>
    </row>
    <row r="5" spans="1:8">
      <c r="A5" s="7" t="s">
        <v>30</v>
      </c>
      <c r="B5" s="30">
        <v>45927</v>
      </c>
      <c r="C5" s="30">
        <v>45929</v>
      </c>
      <c r="D5" s="31">
        <f t="shared" si="0"/>
        <v>3</v>
      </c>
      <c r="E5" s="31">
        <f>IF(D5&gt;=5,VLOOKUP(RIGHT(A5,1),テーブル!$A$3:$C$5,2,0)*115%,VLOOKUP(RIGHT(A5,1),テーブル!$A$3:$C$5,2,0))</f>
        <v>2800</v>
      </c>
      <c r="F5" s="31">
        <f>IF((D5-1)&gt;=4,VLOOKUP(RIGHT(A5,1),テーブル!$A$3:$C$5,3,0)*125%,VLOOKUP(RIGHT(A5,1),テーブル!$A$3:$C$5,3,0))</f>
        <v>3700</v>
      </c>
      <c r="G5" s="2">
        <v>250</v>
      </c>
      <c r="H5" s="32">
        <f>VLOOKUP(G5,テーブル!$E$3:$F$7,2,1)</f>
        <v>13</v>
      </c>
    </row>
    <row r="6" spans="1:8">
      <c r="A6" s="7" t="s">
        <v>32</v>
      </c>
      <c r="B6" s="30">
        <v>45906</v>
      </c>
      <c r="C6" s="30">
        <v>45911</v>
      </c>
      <c r="D6" s="31">
        <f t="shared" si="0"/>
        <v>6</v>
      </c>
      <c r="E6" s="31">
        <f>IF(D6&gt;=5,VLOOKUP(RIGHT(A6,1),テーブル!$A$3:$C$5,2,0)*115%,VLOOKUP(RIGHT(A6,1),テーブル!$A$3:$C$5,2,0))</f>
        <v>3334.9999999999995</v>
      </c>
      <c r="F6" s="31">
        <f>IF((D6-1)&gt;=4,VLOOKUP(RIGHT(A6,1),テーブル!$A$3:$C$5,3,0)*125%,VLOOKUP(RIGHT(A6,1),テーブル!$A$3:$C$5,3,0))</f>
        <v>4750</v>
      </c>
      <c r="G6" s="2">
        <v>550</v>
      </c>
      <c r="H6" s="32">
        <f>VLOOKUP(G6,テーブル!$E$3:$F$7,2,1)</f>
        <v>16</v>
      </c>
    </row>
    <row r="7" spans="1:8">
      <c r="A7" s="7" t="s">
        <v>32</v>
      </c>
      <c r="B7" s="30">
        <v>45913</v>
      </c>
      <c r="C7" s="30">
        <v>45917</v>
      </c>
      <c r="D7" s="31">
        <f t="shared" si="0"/>
        <v>5</v>
      </c>
      <c r="E7" s="31">
        <f>IF(D7&gt;=5,VLOOKUP(RIGHT(A7,1),テーブル!$A$3:$C$5,2,0)*115%,VLOOKUP(RIGHT(A7,1),テーブル!$A$3:$C$5,2,0))</f>
        <v>3334.9999999999995</v>
      </c>
      <c r="F7" s="31">
        <f>IF((D7-1)&gt;=4,VLOOKUP(RIGHT(A7,1),テーブル!$A$3:$C$5,3,0)*125%,VLOOKUP(RIGHT(A7,1),テーブル!$A$3:$C$5,3,0))</f>
        <v>4750</v>
      </c>
      <c r="G7" s="2">
        <v>412</v>
      </c>
      <c r="H7" s="32">
        <f>VLOOKUP(G7,テーブル!$E$3:$F$7,2,1)</f>
        <v>14</v>
      </c>
    </row>
    <row r="8" spans="1:8">
      <c r="A8" s="7" t="s">
        <v>32</v>
      </c>
      <c r="B8" s="30">
        <v>45920</v>
      </c>
      <c r="C8" s="30">
        <v>45925</v>
      </c>
      <c r="D8" s="31">
        <f t="shared" si="0"/>
        <v>6</v>
      </c>
      <c r="E8" s="31">
        <f>IF(D8&gt;=5,VLOOKUP(RIGHT(A8,1),テーブル!$A$3:$C$5,2,0)*115%,VLOOKUP(RIGHT(A8,1),テーブル!$A$3:$C$5,2,0))</f>
        <v>3334.9999999999995</v>
      </c>
      <c r="F8" s="31">
        <f>IF((D8-1)&gt;=4,VLOOKUP(RIGHT(A8,1),テーブル!$A$3:$C$5,3,0)*125%,VLOOKUP(RIGHT(A8,1),テーブル!$A$3:$C$5,3,0))</f>
        <v>4750</v>
      </c>
      <c r="G8" s="2">
        <v>569</v>
      </c>
      <c r="H8" s="32">
        <f>VLOOKUP(G8,テーブル!$E$3:$F$7,2,1)</f>
        <v>16</v>
      </c>
    </row>
    <row r="9" spans="1:8">
      <c r="A9" s="7" t="s">
        <v>32</v>
      </c>
      <c r="B9" s="30">
        <v>45927</v>
      </c>
      <c r="C9" s="30">
        <v>45929</v>
      </c>
      <c r="D9" s="31">
        <f t="shared" si="0"/>
        <v>3</v>
      </c>
      <c r="E9" s="31">
        <f>IF(D9&gt;=5,VLOOKUP(RIGHT(A9,1),テーブル!$A$3:$C$5,2,0)*115%,VLOOKUP(RIGHT(A9,1),テーブル!$A$3:$C$5,2,0))</f>
        <v>2900</v>
      </c>
      <c r="F9" s="31">
        <f>IF((D9-1)&gt;=4,VLOOKUP(RIGHT(A9,1),テーブル!$A$3:$C$5,3,0)*125%,VLOOKUP(RIGHT(A9,1),テーブル!$A$3:$C$5,3,0))</f>
        <v>3800</v>
      </c>
      <c r="G9" s="2">
        <v>194</v>
      </c>
      <c r="H9" s="32">
        <f>VLOOKUP(G9,テーブル!$E$3:$F$7,2,1)</f>
        <v>12</v>
      </c>
    </row>
    <row r="10" spans="1:8">
      <c r="A10" s="7" t="s">
        <v>34</v>
      </c>
      <c r="B10" s="30">
        <v>45901</v>
      </c>
      <c r="C10" s="30">
        <v>45906</v>
      </c>
      <c r="D10" s="31">
        <f t="shared" si="0"/>
        <v>6</v>
      </c>
      <c r="E10" s="31">
        <f>IF(D10&gt;=5,VLOOKUP(RIGHT(A10,1),テーブル!$A$3:$C$5,2,0)*115%,VLOOKUP(RIGHT(A10,1),テーブル!$A$3:$C$5,2,0))</f>
        <v>3104.9999999999995</v>
      </c>
      <c r="F10" s="31">
        <f>IF((D10-1)&gt;=4,VLOOKUP(RIGHT(A10,1),テーブル!$A$3:$C$5,3,0)*125%,VLOOKUP(RIGHT(A10,1),テーブル!$A$3:$C$5,3,0))</f>
        <v>4500</v>
      </c>
      <c r="G10" s="2">
        <v>507</v>
      </c>
      <c r="H10" s="32">
        <f>VLOOKUP(G10,テーブル!$E$3:$F$7,2,1)</f>
        <v>15</v>
      </c>
    </row>
    <row r="11" spans="1:8">
      <c r="A11" s="7" t="s">
        <v>34</v>
      </c>
      <c r="B11" s="30">
        <v>45908</v>
      </c>
      <c r="C11" s="30">
        <v>45911</v>
      </c>
      <c r="D11" s="31">
        <f t="shared" si="0"/>
        <v>4</v>
      </c>
      <c r="E11" s="31">
        <f>IF(D11&gt;=5,VLOOKUP(RIGHT(A11,1),テーブル!$A$3:$C$5,2,0)*115%,VLOOKUP(RIGHT(A11,1),テーブル!$A$3:$C$5,2,0))</f>
        <v>2700</v>
      </c>
      <c r="F11" s="31">
        <f>IF((D11-1)&gt;=4,VLOOKUP(RIGHT(A11,1),テーブル!$A$3:$C$5,3,0)*125%,VLOOKUP(RIGHT(A11,1),テーブル!$A$3:$C$5,3,0))</f>
        <v>3600</v>
      </c>
      <c r="G11" s="2">
        <v>345</v>
      </c>
      <c r="H11" s="32">
        <f>VLOOKUP(G11,テーブル!$E$3:$F$7,2,1)</f>
        <v>13</v>
      </c>
    </row>
    <row r="12" spans="1:8">
      <c r="A12" s="7" t="s">
        <v>34</v>
      </c>
      <c r="B12" s="30">
        <v>45913</v>
      </c>
      <c r="C12" s="30">
        <v>45916</v>
      </c>
      <c r="D12" s="31">
        <f t="shared" si="0"/>
        <v>4</v>
      </c>
      <c r="E12" s="31">
        <f>IF(D12&gt;=5,VLOOKUP(RIGHT(A12,1),テーブル!$A$3:$C$5,2,0)*115%,VLOOKUP(RIGHT(A12,1),テーブル!$A$3:$C$5,2,0))</f>
        <v>2700</v>
      </c>
      <c r="F12" s="31">
        <f>IF((D12-1)&gt;=4,VLOOKUP(RIGHT(A12,1),テーブル!$A$3:$C$5,3,0)*125%,VLOOKUP(RIGHT(A12,1),テーブル!$A$3:$C$5,3,0))</f>
        <v>3600</v>
      </c>
      <c r="G12" s="2">
        <v>318</v>
      </c>
      <c r="H12" s="32">
        <f>VLOOKUP(G12,テーブル!$E$3:$F$7,2,1)</f>
        <v>13</v>
      </c>
    </row>
    <row r="13" spans="1:8">
      <c r="A13" s="7" t="s">
        <v>34</v>
      </c>
      <c r="B13" s="30">
        <v>45921</v>
      </c>
      <c r="C13" s="30">
        <v>45923</v>
      </c>
      <c r="D13" s="31">
        <f t="shared" si="0"/>
        <v>3</v>
      </c>
      <c r="E13" s="31">
        <f>IF(D13&gt;=5,VLOOKUP(RIGHT(A13,1),テーブル!$A$3:$C$5,2,0)*115%,VLOOKUP(RIGHT(A13,1),テーブル!$A$3:$C$5,2,0))</f>
        <v>2700</v>
      </c>
      <c r="F13" s="31">
        <f>IF((D13-1)&gt;=4,VLOOKUP(RIGHT(A13,1),テーブル!$A$3:$C$5,3,0)*125%,VLOOKUP(RIGHT(A13,1),テーブル!$A$3:$C$5,3,0))</f>
        <v>3600</v>
      </c>
      <c r="G13" s="2">
        <v>237</v>
      </c>
      <c r="H13" s="32">
        <f>VLOOKUP(G13,テーブル!$E$3:$F$7,2,1)</f>
        <v>12</v>
      </c>
    </row>
    <row r="14" spans="1:8">
      <c r="A14" s="7" t="s">
        <v>36</v>
      </c>
      <c r="B14" s="30">
        <v>45905</v>
      </c>
      <c r="C14" s="30">
        <v>45910</v>
      </c>
      <c r="D14" s="31">
        <f t="shared" si="0"/>
        <v>6</v>
      </c>
      <c r="E14" s="31">
        <f>IF(D14&gt;=5,VLOOKUP(RIGHT(A14,1),テーブル!$A$3:$C$5,2,0)*115%,VLOOKUP(RIGHT(A14,1),テーブル!$A$3:$C$5,2,0))</f>
        <v>3334.9999999999995</v>
      </c>
      <c r="F14" s="31">
        <f>IF((D14-1)&gt;=4,VLOOKUP(RIGHT(A14,1),テーブル!$A$3:$C$5,3,0)*125%,VLOOKUP(RIGHT(A14,1),テーブル!$A$3:$C$5,3,0))</f>
        <v>4750</v>
      </c>
      <c r="G14" s="2">
        <v>524</v>
      </c>
      <c r="H14" s="32">
        <f>VLOOKUP(G14,テーブル!$E$3:$F$7,2,1)</f>
        <v>15</v>
      </c>
    </row>
    <row r="15" spans="1:8">
      <c r="A15" s="7" t="s">
        <v>36</v>
      </c>
      <c r="B15" s="30">
        <v>45913</v>
      </c>
      <c r="C15" s="30">
        <v>45916</v>
      </c>
      <c r="D15" s="31">
        <f t="shared" si="0"/>
        <v>4</v>
      </c>
      <c r="E15" s="31">
        <f>IF(D15&gt;=5,VLOOKUP(RIGHT(A15,1),テーブル!$A$3:$C$5,2,0)*115%,VLOOKUP(RIGHT(A15,1),テーブル!$A$3:$C$5,2,0))</f>
        <v>2900</v>
      </c>
      <c r="F15" s="31">
        <f>IF((D15-1)&gt;=4,VLOOKUP(RIGHT(A15,1),テーブル!$A$3:$C$5,3,0)*125%,VLOOKUP(RIGHT(A15,1),テーブル!$A$3:$C$5,3,0))</f>
        <v>3800</v>
      </c>
      <c r="G15" s="2">
        <v>367</v>
      </c>
      <c r="H15" s="32">
        <f>VLOOKUP(G15,テーブル!$E$3:$F$7,2,1)</f>
        <v>14</v>
      </c>
    </row>
    <row r="16" spans="1:8">
      <c r="A16" s="7" t="s">
        <v>36</v>
      </c>
      <c r="B16" s="30">
        <v>45920</v>
      </c>
      <c r="C16" s="30">
        <v>45924</v>
      </c>
      <c r="D16" s="31">
        <f t="shared" si="0"/>
        <v>5</v>
      </c>
      <c r="E16" s="31">
        <f>IF(D16&gt;=5,VLOOKUP(RIGHT(A16,1),テーブル!$A$3:$C$5,2,0)*115%,VLOOKUP(RIGHT(A16,1),テーブル!$A$3:$C$5,2,0))</f>
        <v>3334.9999999999995</v>
      </c>
      <c r="F16" s="31">
        <f>IF((D16-1)&gt;=4,VLOOKUP(RIGHT(A16,1),テーブル!$A$3:$C$5,3,0)*125%,VLOOKUP(RIGHT(A16,1),テーブル!$A$3:$C$5,3,0))</f>
        <v>4750</v>
      </c>
      <c r="G16" s="2">
        <v>390</v>
      </c>
      <c r="H16" s="32">
        <f>VLOOKUP(G16,テーブル!$E$3:$F$7,2,1)</f>
        <v>14</v>
      </c>
    </row>
    <row r="17" spans="1:8">
      <c r="A17" s="7" t="s">
        <v>36</v>
      </c>
      <c r="B17" s="30">
        <v>45926</v>
      </c>
      <c r="C17" s="30">
        <v>45929</v>
      </c>
      <c r="D17" s="31">
        <f t="shared" si="0"/>
        <v>4</v>
      </c>
      <c r="E17" s="31">
        <f>IF(D17&gt;=5,VLOOKUP(RIGHT(A17,1),テーブル!$A$3:$C$5,2,0)*115%,VLOOKUP(RIGHT(A17,1),テーブル!$A$3:$C$5,2,0))</f>
        <v>2900</v>
      </c>
      <c r="F17" s="31">
        <f>IF((D17-1)&gt;=4,VLOOKUP(RIGHT(A17,1),テーブル!$A$3:$C$5,3,0)*125%,VLOOKUP(RIGHT(A17,1),テーブル!$A$3:$C$5,3,0))</f>
        <v>3800</v>
      </c>
      <c r="G17" s="2">
        <v>380</v>
      </c>
      <c r="H17" s="32">
        <f>VLOOKUP(G17,テーブル!$E$3:$F$7,2,1)</f>
        <v>14</v>
      </c>
    </row>
    <row r="18" spans="1:8">
      <c r="A18" s="7" t="s">
        <v>38</v>
      </c>
      <c r="B18" s="30">
        <v>45905</v>
      </c>
      <c r="C18" s="30">
        <v>45910</v>
      </c>
      <c r="D18" s="31">
        <f t="shared" si="0"/>
        <v>6</v>
      </c>
      <c r="E18" s="31">
        <f>IF(D18&gt;=5,VLOOKUP(RIGHT(A18,1),テーブル!$A$3:$C$5,2,0)*115%,VLOOKUP(RIGHT(A18,1),テーブル!$A$3:$C$5,2,0))</f>
        <v>3104.9999999999995</v>
      </c>
      <c r="F18" s="31">
        <f>IF((D18-1)&gt;=4,VLOOKUP(RIGHT(A18,1),テーブル!$A$3:$C$5,3,0)*125%,VLOOKUP(RIGHT(A18,1),テーブル!$A$3:$C$5,3,0))</f>
        <v>4500</v>
      </c>
      <c r="G18" s="2">
        <v>601</v>
      </c>
      <c r="H18" s="32">
        <f>VLOOKUP(G18,テーブル!$E$3:$F$7,2,1)</f>
        <v>16</v>
      </c>
    </row>
    <row r="19" spans="1:8">
      <c r="A19" s="7" t="s">
        <v>38</v>
      </c>
      <c r="B19" s="30">
        <v>45914</v>
      </c>
      <c r="C19" s="30">
        <v>45918</v>
      </c>
      <c r="D19" s="31">
        <f t="shared" si="0"/>
        <v>5</v>
      </c>
      <c r="E19" s="31">
        <f>IF(D19&gt;=5,VLOOKUP(RIGHT(A19,1),テーブル!$A$3:$C$5,2,0)*115%,VLOOKUP(RIGHT(A19,1),テーブル!$A$3:$C$5,2,0))</f>
        <v>3104.9999999999995</v>
      </c>
      <c r="F19" s="31">
        <f>IF((D19-1)&gt;=4,VLOOKUP(RIGHT(A19,1),テーブル!$A$3:$C$5,3,0)*125%,VLOOKUP(RIGHT(A19,1),テーブル!$A$3:$C$5,3,0))</f>
        <v>4500</v>
      </c>
      <c r="G19" s="2">
        <v>450</v>
      </c>
      <c r="H19" s="32">
        <f>VLOOKUP(G19,テーブル!$E$3:$F$7,2,1)</f>
        <v>15</v>
      </c>
    </row>
    <row r="20" spans="1:8">
      <c r="A20" s="7" t="s">
        <v>38</v>
      </c>
      <c r="B20" s="30">
        <v>45920</v>
      </c>
      <c r="C20" s="30">
        <v>45925</v>
      </c>
      <c r="D20" s="31">
        <f t="shared" si="0"/>
        <v>6</v>
      </c>
      <c r="E20" s="31">
        <f>IF(D20&gt;=5,VLOOKUP(RIGHT(A20,1),テーブル!$A$3:$C$5,2,0)*115%,VLOOKUP(RIGHT(A20,1),テーブル!$A$3:$C$5,2,0))</f>
        <v>3104.9999999999995</v>
      </c>
      <c r="F20" s="31">
        <f>IF((D20-1)&gt;=4,VLOOKUP(RIGHT(A20,1),テーブル!$A$3:$C$5,3,0)*125%,VLOOKUP(RIGHT(A20,1),テーブル!$A$3:$C$5,3,0))</f>
        <v>4500</v>
      </c>
      <c r="G20" s="2">
        <v>624</v>
      </c>
      <c r="H20" s="32">
        <f>VLOOKUP(G20,テーブル!$E$3:$F$7,2,1)</f>
        <v>16</v>
      </c>
    </row>
    <row r="21" spans="1:8">
      <c r="A21" s="7" t="s">
        <v>38</v>
      </c>
      <c r="B21" s="30">
        <v>45927</v>
      </c>
      <c r="C21" s="30">
        <v>45930</v>
      </c>
      <c r="D21" s="31">
        <f t="shared" si="0"/>
        <v>4</v>
      </c>
      <c r="E21" s="31">
        <f>IF(D21&gt;=5,VLOOKUP(RIGHT(A21,1),テーブル!$A$3:$C$5,2,0)*115%,VLOOKUP(RIGHT(A21,1),テーブル!$A$3:$C$5,2,0))</f>
        <v>2700</v>
      </c>
      <c r="F21" s="31">
        <f>IF((D21-1)&gt;=4,VLOOKUP(RIGHT(A21,1),テーブル!$A$3:$C$5,3,0)*125%,VLOOKUP(RIGHT(A21,1),テーブル!$A$3:$C$5,3,0))</f>
        <v>3600</v>
      </c>
      <c r="G21" s="2">
        <v>339</v>
      </c>
      <c r="H21" s="32">
        <f>VLOOKUP(G21,テーブル!$E$3:$F$7,2,1)</f>
        <v>13</v>
      </c>
    </row>
    <row r="22" spans="1:8">
      <c r="A22" s="7" t="s">
        <v>21</v>
      </c>
      <c r="B22" s="30">
        <v>45901</v>
      </c>
      <c r="C22" s="30">
        <v>45905</v>
      </c>
      <c r="D22" s="31">
        <f t="shared" si="0"/>
        <v>5</v>
      </c>
      <c r="E22" s="31">
        <f>IF(D22&gt;=5,VLOOKUP(RIGHT(A22,1),テーブル!$A$3:$C$5,2,0)*115%,VLOOKUP(RIGHT(A22,1),テーブル!$A$3:$C$5,2,0))</f>
        <v>3219.9999999999995</v>
      </c>
      <c r="F22" s="31">
        <f>IF((D22-1)&gt;=4,VLOOKUP(RIGHT(A22,1),テーブル!$A$3:$C$5,3,0)*125%,VLOOKUP(RIGHT(A22,1),テーブル!$A$3:$C$5,3,0))</f>
        <v>4625</v>
      </c>
      <c r="G22" s="2">
        <v>457</v>
      </c>
      <c r="H22" s="32">
        <f>VLOOKUP(G22,テーブル!$E$3:$F$7,2,1)</f>
        <v>15</v>
      </c>
    </row>
    <row r="23" spans="1:8">
      <c r="A23" s="7" t="s">
        <v>21</v>
      </c>
      <c r="B23" s="30">
        <v>45908</v>
      </c>
      <c r="C23" s="30">
        <v>45913</v>
      </c>
      <c r="D23" s="31">
        <f t="shared" si="0"/>
        <v>6</v>
      </c>
      <c r="E23" s="31">
        <f>IF(D23&gt;=5,VLOOKUP(RIGHT(A23,1),テーブル!$A$3:$C$5,2,0)*115%,VLOOKUP(RIGHT(A23,1),テーブル!$A$3:$C$5,2,0))</f>
        <v>3219.9999999999995</v>
      </c>
      <c r="F23" s="31">
        <f>IF((D23-1)&gt;=4,VLOOKUP(RIGHT(A23,1),テーブル!$A$3:$C$5,3,0)*125%,VLOOKUP(RIGHT(A23,1),テーブル!$A$3:$C$5,3,0))</f>
        <v>4625</v>
      </c>
      <c r="G23" s="2">
        <v>650</v>
      </c>
      <c r="H23" s="32">
        <f>VLOOKUP(G23,テーブル!$E$3:$F$7,2,1)</f>
        <v>16</v>
      </c>
    </row>
    <row r="24" spans="1:8">
      <c r="A24" s="7" t="s">
        <v>21</v>
      </c>
      <c r="B24" s="30">
        <v>45915</v>
      </c>
      <c r="C24" s="30">
        <v>45917</v>
      </c>
      <c r="D24" s="31">
        <f t="shared" si="0"/>
        <v>3</v>
      </c>
      <c r="E24" s="31">
        <f>IF(D24&gt;=5,VLOOKUP(RIGHT(A24,1),テーブル!$A$3:$C$5,2,0)*115%,VLOOKUP(RIGHT(A24,1),テーブル!$A$3:$C$5,2,0))</f>
        <v>2800</v>
      </c>
      <c r="F24" s="31">
        <f>IF((D24-1)&gt;=4,VLOOKUP(RIGHT(A24,1),テーブル!$A$3:$C$5,3,0)*125%,VLOOKUP(RIGHT(A24,1),テーブル!$A$3:$C$5,3,0))</f>
        <v>3700</v>
      </c>
      <c r="G24" s="2">
        <v>248</v>
      </c>
      <c r="H24" s="32">
        <f>VLOOKUP(G24,テーブル!$E$3:$F$7,2,1)</f>
        <v>12</v>
      </c>
    </row>
    <row r="25" spans="1:8" ht="14.25" thickBot="1">
      <c r="A25" s="9" t="s">
        <v>21</v>
      </c>
      <c r="B25" s="46">
        <v>45920</v>
      </c>
      <c r="C25" s="46">
        <v>45923</v>
      </c>
      <c r="D25" s="47">
        <f t="shared" si="0"/>
        <v>4</v>
      </c>
      <c r="E25" s="47">
        <f>IF(D25&gt;=5,VLOOKUP(RIGHT(A25,1),テーブル!$A$3:$C$5,2,0)*115%,VLOOKUP(RIGHT(A25,1),テーブル!$A$3:$C$5,2,0))</f>
        <v>2800</v>
      </c>
      <c r="F25" s="47">
        <f>IF((D25-1)&gt;=4,VLOOKUP(RIGHT(A25,1),テーブル!$A$3:$C$5,3,0)*125%,VLOOKUP(RIGHT(A25,1),テーブル!$A$3:$C$5,3,0))</f>
        <v>3700</v>
      </c>
      <c r="G25" s="25">
        <v>350</v>
      </c>
      <c r="H25" s="26">
        <f>VLOOKUP(G25,テーブル!$E$3:$F$7,2,1)</f>
        <v>14</v>
      </c>
    </row>
    <row r="27" spans="1:8">
      <c r="D27" s="14"/>
    </row>
    <row r="40" spans="5:5">
      <c r="E40" s="1"/>
    </row>
  </sheetData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zoomScaleNormal="100" workbookViewId="0"/>
  </sheetViews>
  <sheetFormatPr defaultRowHeight="13.5"/>
  <cols>
    <col min="1" max="1" width="7.5" bestFit="1" customWidth="1"/>
    <col min="2" max="2" width="10.5" bestFit="1" customWidth="1"/>
    <col min="3" max="4" width="7.5" bestFit="1" customWidth="1"/>
    <col min="5" max="5" width="11.625" bestFit="1" customWidth="1"/>
    <col min="6" max="6" width="7.5" bestFit="1" customWidth="1"/>
    <col min="7" max="7" width="9.5" bestFit="1" customWidth="1"/>
    <col min="8" max="8" width="10.5" bestFit="1" customWidth="1"/>
  </cols>
  <sheetData>
    <row r="1" spans="1:8" s="1" customFormat="1">
      <c r="A1" s="4" t="s">
        <v>6</v>
      </c>
      <c r="B1" s="5" t="s">
        <v>1</v>
      </c>
      <c r="C1" s="5" t="s">
        <v>12</v>
      </c>
      <c r="D1" s="5" t="s">
        <v>42</v>
      </c>
      <c r="E1" s="5" t="s">
        <v>43</v>
      </c>
      <c r="F1" s="5" t="s">
        <v>49</v>
      </c>
      <c r="G1" s="6" t="s">
        <v>13</v>
      </c>
    </row>
    <row r="2" spans="1:8">
      <c r="A2" s="7" t="s">
        <v>30</v>
      </c>
      <c r="B2" s="30">
        <v>45901</v>
      </c>
      <c r="C2" s="37">
        <v>47</v>
      </c>
      <c r="D2" s="37">
        <v>29</v>
      </c>
      <c r="E2" s="38">
        <v>2580000</v>
      </c>
      <c r="F2" s="44">
        <f t="shared" ref="F2:F25" si="0">ROUNDDOWN(D2/C2,3)</f>
        <v>0.61699999999999999</v>
      </c>
      <c r="G2" s="40">
        <f>ROUND(E2*INDEX(テーブル!$I$4:$L$8,MATCH(F2,テーブル!$H$4:$H$8,1),MATCH(D2,テーブル!$I$3:$L$3,1)),-2)</f>
        <v>33500</v>
      </c>
      <c r="H2" s="45"/>
    </row>
    <row r="3" spans="1:8">
      <c r="A3" s="7" t="s">
        <v>30</v>
      </c>
      <c r="B3" s="30">
        <v>45907</v>
      </c>
      <c r="C3" s="37">
        <v>29</v>
      </c>
      <c r="D3" s="37">
        <v>16</v>
      </c>
      <c r="E3" s="38">
        <v>1110000</v>
      </c>
      <c r="F3" s="39">
        <f t="shared" si="0"/>
        <v>0.55100000000000005</v>
      </c>
      <c r="G3" s="40">
        <f>ROUND(E3*INDEX(テーブル!$I$4:$L$8,MATCH(F3,テーブル!$H$4:$H$8,1),MATCH(D3,テーブル!$I$3:$L$3,1)),-2)</f>
        <v>2200</v>
      </c>
      <c r="H3" s="1"/>
    </row>
    <row r="4" spans="1:8">
      <c r="A4" s="7" t="s">
        <v>30</v>
      </c>
      <c r="B4" s="30">
        <v>45915</v>
      </c>
      <c r="C4" s="37">
        <v>44</v>
      </c>
      <c r="D4" s="37">
        <v>24</v>
      </c>
      <c r="E4" s="38">
        <v>2500000</v>
      </c>
      <c r="F4" s="44">
        <f t="shared" si="0"/>
        <v>0.54500000000000004</v>
      </c>
      <c r="G4" s="40">
        <f>ROUND(E4*INDEX(テーブル!$I$4:$L$8,MATCH(F4,テーブル!$H$4:$H$8,1),MATCH(D4,テーブル!$I$3:$L$3,1)),-2)</f>
        <v>17500</v>
      </c>
      <c r="H4" s="1"/>
    </row>
    <row r="5" spans="1:8">
      <c r="A5" s="7" t="s">
        <v>30</v>
      </c>
      <c r="B5" s="30">
        <v>45927</v>
      </c>
      <c r="C5" s="37">
        <v>37</v>
      </c>
      <c r="D5" s="37">
        <v>17</v>
      </c>
      <c r="E5" s="38">
        <v>1340000</v>
      </c>
      <c r="F5" s="39">
        <f t="shared" si="0"/>
        <v>0.45900000000000002</v>
      </c>
      <c r="G5" s="40">
        <f>ROUND(E5*INDEX(テーブル!$I$4:$L$8,MATCH(F5,テーブル!$H$4:$H$8,1),MATCH(D5,テーブル!$I$3:$L$3,1)),-2)</f>
        <v>1300</v>
      </c>
      <c r="H5" s="1"/>
    </row>
    <row r="6" spans="1:8">
      <c r="A6" s="7" t="s">
        <v>32</v>
      </c>
      <c r="B6" s="30">
        <v>45906</v>
      </c>
      <c r="C6" s="37">
        <v>46</v>
      </c>
      <c r="D6" s="37">
        <v>22</v>
      </c>
      <c r="E6" s="38">
        <v>2260000</v>
      </c>
      <c r="F6" s="44">
        <f t="shared" si="0"/>
        <v>0.47799999999999998</v>
      </c>
      <c r="G6" s="40">
        <f>ROUND(E6*INDEX(テーブル!$I$4:$L$8,MATCH(F6,テーブル!$H$4:$H$8,1),MATCH(D6,テーブル!$I$3:$L$3,1)),-2)</f>
        <v>13600</v>
      </c>
      <c r="H6" s="1"/>
    </row>
    <row r="7" spans="1:8">
      <c r="A7" s="7" t="s">
        <v>32</v>
      </c>
      <c r="B7" s="30">
        <v>45913</v>
      </c>
      <c r="C7" s="37">
        <v>33</v>
      </c>
      <c r="D7" s="37">
        <v>22</v>
      </c>
      <c r="E7" s="38">
        <v>1870000</v>
      </c>
      <c r="F7" s="44">
        <f t="shared" si="0"/>
        <v>0.66600000000000004</v>
      </c>
      <c r="G7" s="40">
        <f>ROUND(E7*INDEX(テーブル!$I$4:$L$8,MATCH(F7,テーブル!$H$4:$H$8,1),MATCH(D7,テーブル!$I$3:$L$3,1)),-2)</f>
        <v>15000</v>
      </c>
      <c r="H7" s="1"/>
    </row>
    <row r="8" spans="1:8">
      <c r="A8" s="7" t="s">
        <v>32</v>
      </c>
      <c r="B8" s="30">
        <v>45920</v>
      </c>
      <c r="C8" s="37">
        <v>39</v>
      </c>
      <c r="D8" s="37">
        <v>21</v>
      </c>
      <c r="E8" s="38">
        <v>2680000</v>
      </c>
      <c r="F8" s="44">
        <f t="shared" si="0"/>
        <v>0.53800000000000003</v>
      </c>
      <c r="G8" s="40">
        <f>ROUND(E8*INDEX(テーブル!$I$4:$L$8,MATCH(F8,テーブル!$H$4:$H$8,1),MATCH(D8,テーブル!$I$3:$L$3,1)),-2)</f>
        <v>18800</v>
      </c>
      <c r="H8" s="1"/>
    </row>
    <row r="9" spans="1:8">
      <c r="A9" s="7" t="s">
        <v>32</v>
      </c>
      <c r="B9" s="30">
        <v>45927</v>
      </c>
      <c r="C9" s="37">
        <v>26</v>
      </c>
      <c r="D9" s="37">
        <v>18</v>
      </c>
      <c r="E9" s="38">
        <v>1730000</v>
      </c>
      <c r="F9" s="39">
        <f t="shared" si="0"/>
        <v>0.69199999999999995</v>
      </c>
      <c r="G9" s="40">
        <f>ROUND(E9*INDEX(テーブル!$I$4:$L$8,MATCH(F9,テーブル!$H$4:$H$8,1),MATCH(D9,テーブル!$I$3:$L$3,1)),-2)</f>
        <v>5200</v>
      </c>
      <c r="H9" s="1"/>
    </row>
    <row r="10" spans="1:8">
      <c r="A10" s="7" t="s">
        <v>34</v>
      </c>
      <c r="B10" s="30">
        <v>45901</v>
      </c>
      <c r="C10" s="37">
        <v>77</v>
      </c>
      <c r="D10" s="37">
        <v>30</v>
      </c>
      <c r="E10" s="38">
        <v>2870000</v>
      </c>
      <c r="F10" s="39">
        <f t="shared" si="0"/>
        <v>0.38900000000000001</v>
      </c>
      <c r="G10" s="40">
        <f>ROUND(E10*INDEX(テーブル!$I$4:$L$8,MATCH(F10,テーブル!$H$4:$H$8,1),MATCH(D10,テーブル!$I$3:$L$3,1)),-2)</f>
        <v>43100</v>
      </c>
      <c r="H10" s="1"/>
    </row>
    <row r="11" spans="1:8">
      <c r="A11" s="7" t="s">
        <v>34</v>
      </c>
      <c r="B11" s="30">
        <v>45908</v>
      </c>
      <c r="C11" s="37">
        <v>49</v>
      </c>
      <c r="D11" s="37">
        <v>27</v>
      </c>
      <c r="E11" s="38">
        <v>1760000</v>
      </c>
      <c r="F11" s="44">
        <f t="shared" si="0"/>
        <v>0.55100000000000005</v>
      </c>
      <c r="G11" s="40">
        <f>ROUND(E11*INDEX(テーブル!$I$4:$L$8,MATCH(F11,テーブル!$H$4:$H$8,1),MATCH(D11,テーブル!$I$3:$L$3,1)),-2)</f>
        <v>21100</v>
      </c>
      <c r="H11" s="1"/>
    </row>
    <row r="12" spans="1:8">
      <c r="A12" s="7" t="s">
        <v>34</v>
      </c>
      <c r="B12" s="30">
        <v>45913</v>
      </c>
      <c r="C12" s="37">
        <v>33</v>
      </c>
      <c r="D12" s="37">
        <v>31</v>
      </c>
      <c r="E12" s="38">
        <v>2850000</v>
      </c>
      <c r="F12" s="39">
        <f t="shared" si="0"/>
        <v>0.93899999999999995</v>
      </c>
      <c r="G12" s="40">
        <f>ROUND(E12*INDEX(テーブル!$I$4:$L$8,MATCH(F12,テーブル!$H$4:$H$8,1),MATCH(D12,テーブル!$I$3:$L$3,1)),-2)</f>
        <v>54200</v>
      </c>
      <c r="H12" s="1"/>
    </row>
    <row r="13" spans="1:8">
      <c r="A13" s="7" t="s">
        <v>34</v>
      </c>
      <c r="B13" s="30">
        <v>45921</v>
      </c>
      <c r="C13" s="37">
        <v>28</v>
      </c>
      <c r="D13" s="37">
        <v>17</v>
      </c>
      <c r="E13" s="38">
        <v>1300000</v>
      </c>
      <c r="F13" s="39">
        <f t="shared" si="0"/>
        <v>0.60699999999999998</v>
      </c>
      <c r="G13" s="40">
        <f>ROUND(E13*INDEX(テーブル!$I$4:$L$8,MATCH(F13,テーブル!$H$4:$H$8,1),MATCH(D13,テーブル!$I$3:$L$3,1)),-2)</f>
        <v>3900</v>
      </c>
      <c r="H13" s="1"/>
    </row>
    <row r="14" spans="1:8">
      <c r="A14" s="7" t="s">
        <v>36</v>
      </c>
      <c r="B14" s="30">
        <v>45905</v>
      </c>
      <c r="C14" s="37">
        <v>48</v>
      </c>
      <c r="D14" s="37">
        <v>25</v>
      </c>
      <c r="E14" s="38">
        <v>2800000</v>
      </c>
      <c r="F14" s="44">
        <f t="shared" si="0"/>
        <v>0.52</v>
      </c>
      <c r="G14" s="40">
        <f>ROUND(E14*INDEX(テーブル!$I$4:$L$8,MATCH(F14,テーブル!$H$4:$H$8,1),MATCH(D14,テーブル!$I$3:$L$3,1)),-2)</f>
        <v>33600</v>
      </c>
      <c r="H14" s="1"/>
    </row>
    <row r="15" spans="1:8">
      <c r="A15" s="7" t="s">
        <v>36</v>
      </c>
      <c r="B15" s="30">
        <v>45913</v>
      </c>
      <c r="C15" s="37">
        <v>37</v>
      </c>
      <c r="D15" s="37">
        <v>26</v>
      </c>
      <c r="E15" s="38">
        <v>2060000</v>
      </c>
      <c r="F15" s="44">
        <f t="shared" si="0"/>
        <v>0.70199999999999996</v>
      </c>
      <c r="G15" s="40">
        <f>ROUND(E15*INDEX(テーブル!$I$4:$L$8,MATCH(F15,テーブル!$H$4:$H$8,1),MATCH(D15,テーブル!$I$3:$L$3,1)),-2)</f>
        <v>28800</v>
      </c>
      <c r="H15" s="1"/>
    </row>
    <row r="16" spans="1:8">
      <c r="A16" s="7" t="s">
        <v>36</v>
      </c>
      <c r="B16" s="30">
        <v>45920</v>
      </c>
      <c r="C16" s="37">
        <v>40</v>
      </c>
      <c r="D16" s="37">
        <v>32</v>
      </c>
      <c r="E16" s="38">
        <v>3040000</v>
      </c>
      <c r="F16" s="39">
        <f t="shared" si="0"/>
        <v>0.8</v>
      </c>
      <c r="G16" s="40">
        <f>ROUND(E16*INDEX(テーブル!$I$4:$L$8,MATCH(F16,テーブル!$H$4:$H$8,1),MATCH(D16,テーブル!$I$3:$L$3,1)),-2)</f>
        <v>57800</v>
      </c>
      <c r="H16" s="1"/>
    </row>
    <row r="17" spans="1:8">
      <c r="A17" s="7" t="s">
        <v>36</v>
      </c>
      <c r="B17" s="30">
        <v>45926</v>
      </c>
      <c r="C17" s="37">
        <v>34</v>
      </c>
      <c r="D17" s="37">
        <v>14</v>
      </c>
      <c r="E17" s="38">
        <v>1090000</v>
      </c>
      <c r="F17" s="39">
        <f t="shared" si="0"/>
        <v>0.41099999999999998</v>
      </c>
      <c r="G17" s="40">
        <f>ROUND(E17*INDEX(テーブル!$I$4:$L$8,MATCH(F17,テーブル!$H$4:$H$8,1),MATCH(D17,テーブル!$I$3:$L$3,1)),-2)</f>
        <v>1100</v>
      </c>
      <c r="H17" s="1"/>
    </row>
    <row r="18" spans="1:8">
      <c r="A18" s="7" t="s">
        <v>38</v>
      </c>
      <c r="B18" s="30">
        <v>45905</v>
      </c>
      <c r="C18" s="37">
        <v>63</v>
      </c>
      <c r="D18" s="37">
        <v>28</v>
      </c>
      <c r="E18" s="38">
        <v>2980000</v>
      </c>
      <c r="F18" s="44">
        <f t="shared" si="0"/>
        <v>0.44400000000000001</v>
      </c>
      <c r="G18" s="40">
        <f>ROUND(E18*INDEX(テーブル!$I$4:$L$8,MATCH(F18,テーブル!$H$4:$H$8,1),MATCH(D18,テーブル!$I$3:$L$3,1)),-2)</f>
        <v>32800</v>
      </c>
      <c r="H18" s="1"/>
    </row>
    <row r="19" spans="1:8">
      <c r="A19" s="7" t="s">
        <v>38</v>
      </c>
      <c r="B19" s="30">
        <v>45914</v>
      </c>
      <c r="C19" s="37">
        <v>25</v>
      </c>
      <c r="D19" s="37">
        <v>12</v>
      </c>
      <c r="E19" s="38">
        <v>2030000</v>
      </c>
      <c r="F19" s="39">
        <f t="shared" si="0"/>
        <v>0.48</v>
      </c>
      <c r="G19" s="40">
        <f>ROUND(E19*INDEX(テーブル!$I$4:$L$8,MATCH(F19,テーブル!$H$4:$H$8,1),MATCH(D19,テーブル!$I$3:$L$3,1)),-2)</f>
        <v>2000</v>
      </c>
      <c r="H19" s="1"/>
    </row>
    <row r="20" spans="1:8">
      <c r="A20" s="7" t="s">
        <v>38</v>
      </c>
      <c r="B20" s="30">
        <v>45920</v>
      </c>
      <c r="C20" s="37">
        <v>58</v>
      </c>
      <c r="D20" s="37">
        <v>30</v>
      </c>
      <c r="E20" s="38">
        <v>3050000</v>
      </c>
      <c r="F20" s="39">
        <f t="shared" si="0"/>
        <v>0.51700000000000002</v>
      </c>
      <c r="G20" s="40">
        <f>ROUND(E20*INDEX(テーブル!$I$4:$L$8,MATCH(F20,テーブル!$H$4:$H$8,1),MATCH(D20,テーブル!$I$3:$L$3,1)),-2)</f>
        <v>51900</v>
      </c>
      <c r="H20" s="1"/>
    </row>
    <row r="21" spans="1:8">
      <c r="A21" s="7" t="s">
        <v>38</v>
      </c>
      <c r="B21" s="30">
        <v>45927</v>
      </c>
      <c r="C21" s="37">
        <v>38</v>
      </c>
      <c r="D21" s="37">
        <v>19</v>
      </c>
      <c r="E21" s="38">
        <v>1630000</v>
      </c>
      <c r="F21" s="39">
        <f t="shared" si="0"/>
        <v>0.5</v>
      </c>
      <c r="G21" s="40">
        <f>ROUND(E21*INDEX(テーブル!$I$4:$L$8,MATCH(F21,テーブル!$H$4:$H$8,1),MATCH(D21,テーブル!$I$3:$L$3,1)),-2)</f>
        <v>3300</v>
      </c>
      <c r="H21" s="1"/>
    </row>
    <row r="22" spans="1:8">
      <c r="A22" s="7" t="s">
        <v>23</v>
      </c>
      <c r="B22" s="30">
        <v>45901</v>
      </c>
      <c r="C22" s="37">
        <v>59</v>
      </c>
      <c r="D22" s="37">
        <v>23</v>
      </c>
      <c r="E22" s="38">
        <v>2580000</v>
      </c>
      <c r="F22" s="44">
        <f t="shared" si="0"/>
        <v>0.38900000000000001</v>
      </c>
      <c r="G22" s="40">
        <f>ROUND(E22*INDEX(テーブル!$I$4:$L$8,MATCH(F22,テーブル!$H$4:$H$8,1),MATCH(D22,テーブル!$I$3:$L$3,1)),-2)</f>
        <v>12900</v>
      </c>
      <c r="H22" s="1"/>
    </row>
    <row r="23" spans="1:8">
      <c r="A23" s="7" t="s">
        <v>23</v>
      </c>
      <c r="B23" s="30">
        <v>45908</v>
      </c>
      <c r="C23" s="37">
        <v>35</v>
      </c>
      <c r="D23" s="37">
        <v>17</v>
      </c>
      <c r="E23" s="38">
        <v>1580000</v>
      </c>
      <c r="F23" s="39">
        <f t="shared" si="0"/>
        <v>0.48499999999999999</v>
      </c>
      <c r="G23" s="40">
        <f>ROUND(E23*INDEX(テーブル!$I$4:$L$8,MATCH(F23,テーブル!$H$4:$H$8,1),MATCH(D23,テーブル!$I$3:$L$3,1)),-2)</f>
        <v>1600</v>
      </c>
      <c r="H23" s="1"/>
    </row>
    <row r="24" spans="1:8">
      <c r="A24" s="7" t="s">
        <v>23</v>
      </c>
      <c r="B24" s="30">
        <v>45915</v>
      </c>
      <c r="C24" s="37">
        <v>37</v>
      </c>
      <c r="D24" s="37">
        <v>23</v>
      </c>
      <c r="E24" s="38">
        <v>1950000</v>
      </c>
      <c r="F24" s="44">
        <f t="shared" si="0"/>
        <v>0.621</v>
      </c>
      <c r="G24" s="40">
        <f>ROUND(E24*INDEX(テーブル!$I$4:$L$8,MATCH(F24,テーブル!$H$4:$H$8,1),MATCH(D24,テーブル!$I$3:$L$3,1)),-2)</f>
        <v>15600</v>
      </c>
      <c r="H24" s="1"/>
    </row>
    <row r="25" spans="1:8">
      <c r="A25" s="7" t="s">
        <v>23</v>
      </c>
      <c r="B25" s="30">
        <v>45920</v>
      </c>
      <c r="C25" s="37">
        <v>56</v>
      </c>
      <c r="D25" s="37">
        <v>20</v>
      </c>
      <c r="E25" s="38">
        <v>1940000</v>
      </c>
      <c r="F25" s="44">
        <f t="shared" si="0"/>
        <v>0.35699999999999998</v>
      </c>
      <c r="G25" s="40">
        <f>ROUND(E25*INDEX(テーブル!$I$4:$L$8,MATCH(F25,テーブル!$H$4:$H$8,1),MATCH(D25,テーブル!$I$3:$L$3,1)),-2)</f>
        <v>9700</v>
      </c>
      <c r="H25" s="1"/>
    </row>
    <row r="26" spans="1:8">
      <c r="A26" s="7"/>
      <c r="B26" s="2"/>
      <c r="C26" s="2"/>
      <c r="D26" s="2"/>
      <c r="E26" s="2"/>
      <c r="F26" s="2"/>
      <c r="G26" s="32"/>
    </row>
    <row r="27" spans="1:8" ht="14.25" thickBot="1">
      <c r="A27" s="33" t="s">
        <v>5</v>
      </c>
      <c r="B27" s="10"/>
      <c r="C27" s="34">
        <f>SUM(C2:C25)</f>
        <v>1018</v>
      </c>
      <c r="D27" s="34">
        <f t="shared" ref="D27:G27" si="1">SUM(D2:D25)</f>
        <v>543</v>
      </c>
      <c r="E27" s="34">
        <f t="shared" si="1"/>
        <v>51580000</v>
      </c>
      <c r="F27" s="34"/>
      <c r="G27" s="35">
        <f t="shared" si="1"/>
        <v>480500</v>
      </c>
    </row>
    <row r="28" spans="1:8">
      <c r="G28" s="20"/>
    </row>
    <row r="29" spans="1:8">
      <c r="G29" s="21"/>
    </row>
    <row r="30" spans="1:8">
      <c r="G30" s="21"/>
    </row>
    <row r="31" spans="1:8">
      <c r="G31" s="21"/>
    </row>
    <row r="32" spans="1:8">
      <c r="A32" t="s">
        <v>22</v>
      </c>
      <c r="G32" s="21"/>
    </row>
    <row r="33" spans="7:7">
      <c r="G33" s="21"/>
    </row>
  </sheetData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"/>
  <sheetViews>
    <sheetView zoomScaleNormal="100" workbookViewId="0">
      <selection sqref="A1:K1"/>
    </sheetView>
  </sheetViews>
  <sheetFormatPr defaultRowHeight="13.5"/>
  <cols>
    <col min="1" max="1" width="5.5" bestFit="1" customWidth="1"/>
    <col min="2" max="2" width="11.625" bestFit="1" customWidth="1"/>
    <col min="3" max="4" width="9.5" bestFit="1" customWidth="1"/>
    <col min="5" max="5" width="7.5" bestFit="1" customWidth="1"/>
    <col min="6" max="6" width="11.625" bestFit="1" customWidth="1"/>
    <col min="7" max="7" width="7.5" bestFit="1" customWidth="1"/>
    <col min="8" max="10" width="9.5" bestFit="1" customWidth="1"/>
    <col min="11" max="11" width="10.5" bestFit="1" customWidth="1"/>
    <col min="12" max="12" width="5.625" customWidth="1"/>
    <col min="13" max="13" width="54.875" bestFit="1" customWidth="1"/>
    <col min="14" max="14" width="7.5" bestFit="1" customWidth="1"/>
    <col min="15" max="15" width="9.5" bestFit="1" customWidth="1"/>
    <col min="16" max="16" width="7.5" bestFit="1" customWidth="1"/>
    <col min="17" max="17" width="7.375" customWidth="1"/>
  </cols>
  <sheetData>
    <row r="1" spans="1:16" ht="14.25" thickBot="1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6" s="1" customFormat="1">
      <c r="A2" s="4" t="s">
        <v>6</v>
      </c>
      <c r="B2" s="5" t="s">
        <v>0</v>
      </c>
      <c r="C2" s="5" t="s">
        <v>3</v>
      </c>
      <c r="D2" s="5" t="s">
        <v>17</v>
      </c>
      <c r="E2" s="5" t="s">
        <v>44</v>
      </c>
      <c r="F2" s="5" t="s">
        <v>43</v>
      </c>
      <c r="G2" s="5" t="s">
        <v>25</v>
      </c>
      <c r="H2" s="5" t="s">
        <v>13</v>
      </c>
      <c r="I2" s="5" t="s">
        <v>48</v>
      </c>
      <c r="J2" s="5" t="s">
        <v>10</v>
      </c>
      <c r="K2" s="22" t="s">
        <v>11</v>
      </c>
      <c r="M2" s="42" t="s">
        <v>59</v>
      </c>
      <c r="N2" s="24">
        <f>DSUM(データＡ表!$A$1:$H$25,7,N5:O7)</f>
        <v>4885</v>
      </c>
      <c r="O2" s="15"/>
    </row>
    <row r="3" spans="1:16" ht="14.25" thickBot="1">
      <c r="A3" s="7" t="s">
        <v>23</v>
      </c>
      <c r="B3" s="2" t="str">
        <f>VLOOKUP(A3,テーブル!$N$3:$P$8,2,0)</f>
        <v>佐山　恵美</v>
      </c>
      <c r="C3" s="17">
        <f>SUMPRODUCT((データＡ表!$A$2:$A$25=A3)*1,データＡ表!$E$2:$E$25,データＡ表!$D$2:$D$25)</f>
        <v>55019.999999999993</v>
      </c>
      <c r="D3" s="17">
        <f>SUMPRODUCT((データＡ表!$A$2:$A$25=A3)*1,データＡ表!$F$2:$F$25,(データＡ表!$D$2:$D$25-1))</f>
        <v>60125</v>
      </c>
      <c r="E3" s="17">
        <f>DSUM(データＢ表!$A$1:$G$25,E$2,$F$12:$F$13)</f>
        <v>83</v>
      </c>
      <c r="F3" s="17">
        <f>DSUM(データＢ表!$A$1:$G$25,F$2,$F$12:$F$13)</f>
        <v>8050000</v>
      </c>
      <c r="G3" s="51">
        <f>ROUNDDOWN(F3/(VLOOKUP(A3,テーブル!$N$3:$P$8,3,0)*10000),3)</f>
        <v>0.96899999999999997</v>
      </c>
      <c r="H3" s="17">
        <f>DSUM(データＢ表!$A$1:$G$25,H$2,$F$12:$F$13)</f>
        <v>39800</v>
      </c>
      <c r="I3" s="17">
        <f>SUMPRODUCT((データＡ表!$A$2:$A$25=A3)*1,データＡ表!$H$2:$H$25,データＡ表!$G$2:$G$25)</f>
        <v>25131</v>
      </c>
      <c r="J3" s="17">
        <f t="shared" ref="J3:J8" si="0">ROUNDUP(IF(OR(E3&gt;=100,G3&gt;=104%),E3*215,0),-2)</f>
        <v>0</v>
      </c>
      <c r="K3" s="8">
        <f t="shared" ref="K3:K8" si="1">C3+D3+H3+I3+J3</f>
        <v>180076</v>
      </c>
      <c r="M3" s="9" t="s">
        <v>60</v>
      </c>
      <c r="N3" s="16">
        <f>DCOUNT(データＢ表!$A$1:$G$25,4,N8:P9)</f>
        <v>8</v>
      </c>
      <c r="O3" s="15"/>
    </row>
    <row r="4" spans="1:16" ht="14.25" thickBot="1">
      <c r="A4" s="7" t="s">
        <v>30</v>
      </c>
      <c r="B4" s="2" t="str">
        <f>VLOOKUP(A4,テーブル!$N$3:$P$8,2,0)</f>
        <v>勝間田　正</v>
      </c>
      <c r="C4" s="17">
        <f>SUMPRODUCT((データＡ表!$A$2:$A$25=A4)*1,データＡ表!$E$2:$E$25,データＡ表!$D$2:$D$25)</f>
        <v>55020</v>
      </c>
      <c r="D4" s="17">
        <f>SUMPRODUCT((データＡ表!$A$2:$A$25=A4)*1,データＡ表!$F$2:$F$25,(データＡ表!$D$2:$D$25-1))</f>
        <v>60125</v>
      </c>
      <c r="E4" s="17">
        <f>DSUM(データＢ表!$A$1:$G$25,E$2,$A$12:$A$13)</f>
        <v>86</v>
      </c>
      <c r="F4" s="17">
        <f>DSUM(データＢ表!$A$1:$G$25,F$2,$A$12:$A$13)</f>
        <v>7530000</v>
      </c>
      <c r="G4" s="51">
        <f>ROUNDDOWN(F4/(VLOOKUP(A4,テーブル!$N$3:$P$8,3,0)*10000),3)</f>
        <v>0.94899999999999995</v>
      </c>
      <c r="H4" s="17">
        <f>DSUM(データＢ表!$A$1:$G$25,H$2,$A$12:$A$13)</f>
        <v>54500</v>
      </c>
      <c r="I4" s="17">
        <f>SUMPRODUCT((データＡ表!$A$2:$A$25=A4)*1,データＡ表!$H$2:$H$25,データＡ表!$G$2:$G$25)</f>
        <v>20601</v>
      </c>
      <c r="J4" s="17">
        <f t="shared" si="0"/>
        <v>0</v>
      </c>
      <c r="K4" s="8">
        <f t="shared" si="1"/>
        <v>190246</v>
      </c>
      <c r="O4" s="15"/>
    </row>
    <row r="5" spans="1:16">
      <c r="A5" s="7" t="s">
        <v>32</v>
      </c>
      <c r="B5" s="2" t="str">
        <f>VLOOKUP(A5,テーブル!$N$3:$P$8,2,0)</f>
        <v>平林　愛理</v>
      </c>
      <c r="C5" s="17">
        <f>SUMPRODUCT((データＡ表!$A$2:$A$25=A5)*1,データＡ表!$E$2:$E$25,データＡ表!$D$2:$D$25)</f>
        <v>65394.999999999985</v>
      </c>
      <c r="D5" s="17">
        <f>SUMPRODUCT((データＡ表!$A$2:$A$25=A5)*1,データＡ表!$F$2:$F$25,(データＡ表!$D$2:$D$25-1))</f>
        <v>74100</v>
      </c>
      <c r="E5" s="17">
        <f>DSUM(データＢ表!$A$1:$G$25,E$2,$B$12:$B$13)</f>
        <v>83</v>
      </c>
      <c r="F5" s="17">
        <f>DSUM(データＢ表!$A$1:$G$25,F$2,$B$12:$B$13)</f>
        <v>8540000</v>
      </c>
      <c r="G5" s="51">
        <f>ROUNDDOWN(F5/(VLOOKUP(A5,テーブル!$N$3:$P$8,3,0)*10000),3)</f>
        <v>1.0720000000000001</v>
      </c>
      <c r="H5" s="17">
        <f>DSUM(データＢ表!$A$1:$G$25,H$2,$B$12:$B$13)</f>
        <v>52600</v>
      </c>
      <c r="I5" s="17">
        <f>SUMPRODUCT((データＡ表!$A$2:$A$25=A5)*1,データＡ表!$H$2:$H$25,データＡ表!$G$2:$G$25)</f>
        <v>26000</v>
      </c>
      <c r="J5" s="17">
        <f t="shared" si="0"/>
        <v>17900</v>
      </c>
      <c r="K5" s="8">
        <f t="shared" si="1"/>
        <v>235995</v>
      </c>
      <c r="M5" s="15"/>
      <c r="N5" s="4" t="s">
        <v>6</v>
      </c>
      <c r="O5" s="6" t="s">
        <v>9</v>
      </c>
    </row>
    <row r="6" spans="1:16">
      <c r="A6" s="7" t="s">
        <v>34</v>
      </c>
      <c r="B6" s="2" t="str">
        <f>VLOOKUP(A6,テーブル!$N$3:$P$8,2,0)</f>
        <v>南　雄一郎</v>
      </c>
      <c r="C6" s="17">
        <f>SUMPRODUCT((データＡ表!$A$2:$A$25=A6)*1,データＡ表!$E$2:$E$25,データＡ表!$D$2:$D$25)</f>
        <v>48330</v>
      </c>
      <c r="D6" s="17">
        <f>SUMPRODUCT((データＡ表!$A$2:$A$25=A6)*1,データＡ表!$F$2:$F$25,(データＡ表!$D$2:$D$25-1))</f>
        <v>51300</v>
      </c>
      <c r="E6" s="17">
        <f>DSUM(データＢ表!$A$1:$G$25,E$2,$C$12:$C$13)</f>
        <v>105</v>
      </c>
      <c r="F6" s="17">
        <f>DSUM(データＢ表!$A$1:$G$25,F$2,$C$12:$C$13)</f>
        <v>8780000</v>
      </c>
      <c r="G6" s="51">
        <f>ROUNDDOWN(F6/(VLOOKUP(A6,テーブル!$N$3:$P$8,3,0)*10000),3)</f>
        <v>0.99199999999999999</v>
      </c>
      <c r="H6" s="17">
        <f>DSUM(データＢ表!$A$1:$G$25,H$2,$C$12:$C$13)</f>
        <v>122300</v>
      </c>
      <c r="I6" s="17">
        <f>SUMPRODUCT((データＡ表!$A$2:$A$25=A6)*1,データＡ表!$H$2:$H$25,データＡ表!$G$2:$G$25)</f>
        <v>19068</v>
      </c>
      <c r="J6" s="17">
        <f t="shared" si="0"/>
        <v>22600</v>
      </c>
      <c r="K6" s="8">
        <f t="shared" si="1"/>
        <v>263598</v>
      </c>
      <c r="M6" s="15"/>
      <c r="N6" s="50" t="s">
        <v>33</v>
      </c>
      <c r="O6" s="32"/>
    </row>
    <row r="7" spans="1:16" ht="14.25" thickBot="1">
      <c r="A7" s="7" t="s">
        <v>36</v>
      </c>
      <c r="B7" s="2" t="str">
        <f>VLOOKUP(A7,テーブル!$N$3:$P$8,2,0)</f>
        <v>鈴木　冬美</v>
      </c>
      <c r="C7" s="17">
        <f>SUMPRODUCT((データＡ表!$A$2:$A$25=A7)*1,データＡ表!$E$2:$E$25,データＡ表!$D$2:$D$25)</f>
        <v>59884.999999999993</v>
      </c>
      <c r="D7" s="17">
        <f>SUMPRODUCT((データＡ表!$A$2:$A$25=A7)*1,データＡ表!$F$2:$F$25,(データＡ表!$D$2:$D$25-1))</f>
        <v>65550</v>
      </c>
      <c r="E7" s="17">
        <f>DSUM(データＢ表!$A$1:$G$25,E$2,$D$12:$D$13)</f>
        <v>97</v>
      </c>
      <c r="F7" s="17">
        <f>DSUM(データＢ表!$A$1:$G$25,F$2,$D$12:$D$13)</f>
        <v>8990000</v>
      </c>
      <c r="G7" s="51">
        <f>ROUNDDOWN(F7/(VLOOKUP(A7,テーブル!$N$3:$P$8,3,0)*10000),3)</f>
        <v>1.0209999999999999</v>
      </c>
      <c r="H7" s="17">
        <f>DSUM(データＢ表!$A$1:$G$25,H$2,$D$12:$D$13)</f>
        <v>121300</v>
      </c>
      <c r="I7" s="17">
        <f>SUMPRODUCT((データＡ表!$A$2:$A$25=A7)*1,データＡ表!$H$2:$H$25,データＡ表!$G$2:$G$25)</f>
        <v>23778</v>
      </c>
      <c r="J7" s="17">
        <f t="shared" si="0"/>
        <v>0</v>
      </c>
      <c r="K7" s="8">
        <f t="shared" si="1"/>
        <v>270513</v>
      </c>
      <c r="M7" s="15"/>
      <c r="N7" s="9"/>
      <c r="O7" s="26" t="s">
        <v>58</v>
      </c>
    </row>
    <row r="8" spans="1:16">
      <c r="A8" s="7" t="s">
        <v>38</v>
      </c>
      <c r="B8" s="2" t="str">
        <f>VLOOKUP(A8,テーブル!$N$3:$P$8,2,0)</f>
        <v>後藤　徳雄</v>
      </c>
      <c r="C8" s="17">
        <f>SUMPRODUCT((データＡ表!$A$2:$A$25=A8)*1,データＡ表!$E$2:$E$25,データＡ表!$D$2:$D$25)</f>
        <v>63584.999999999985</v>
      </c>
      <c r="D8" s="17">
        <f>SUMPRODUCT((データＡ表!$A$2:$A$25=A8)*1,データＡ表!$F$2:$F$25,(データＡ表!$D$2:$D$25-1))</f>
        <v>73800</v>
      </c>
      <c r="E8" s="17">
        <f>DSUM(データＢ表!$A$1:$G$25,E$2,$E$12:$E$13)</f>
        <v>89</v>
      </c>
      <c r="F8" s="17">
        <f>DSUM(データＢ表!$A$1:$G$25,F$2,$E$12:$E$13)</f>
        <v>9690000</v>
      </c>
      <c r="G8" s="51">
        <f>ROUNDDOWN(F8/(VLOOKUP(A8,テーブル!$N$3:$P$8,3,0)*10000),3)</f>
        <v>1.04</v>
      </c>
      <c r="H8" s="17">
        <f>DSUM(データＢ表!$A$1:$G$25,H$2,$E$12:$E$13)</f>
        <v>90000</v>
      </c>
      <c r="I8" s="17">
        <f>SUMPRODUCT((データＡ表!$A$2:$A$25=A8)*1,データＡ表!$H$2:$H$25,データＡ表!$G$2:$G$25)</f>
        <v>30757</v>
      </c>
      <c r="J8" s="17">
        <f t="shared" si="0"/>
        <v>19200</v>
      </c>
      <c r="K8" s="8">
        <f t="shared" si="1"/>
        <v>277342</v>
      </c>
      <c r="M8" s="15"/>
      <c r="N8" s="48" t="s">
        <v>44</v>
      </c>
      <c r="O8" s="49" t="s">
        <v>44</v>
      </c>
      <c r="P8" s="6" t="s">
        <v>49</v>
      </c>
    </row>
    <row r="9" spans="1:16" ht="14.25" thickBot="1">
      <c r="A9" s="7"/>
      <c r="B9" s="2"/>
      <c r="C9" s="17"/>
      <c r="D9" s="17"/>
      <c r="E9" s="17"/>
      <c r="F9" s="17"/>
      <c r="G9" s="17"/>
      <c r="H9" s="17"/>
      <c r="I9" s="17"/>
      <c r="J9" s="17"/>
      <c r="K9" s="8"/>
      <c r="M9" s="15"/>
      <c r="N9" s="9" t="s">
        <v>56</v>
      </c>
      <c r="O9" s="25" t="s">
        <v>57</v>
      </c>
      <c r="P9" s="26" t="s">
        <v>62</v>
      </c>
    </row>
    <row r="10" spans="1:16" ht="14.25" thickBot="1">
      <c r="A10" s="9"/>
      <c r="B10" s="10" t="s">
        <v>5</v>
      </c>
      <c r="C10" s="11">
        <f>SUM(C3:C8)</f>
        <v>347235</v>
      </c>
      <c r="D10" s="11">
        <f>SUM(D3:D8)</f>
        <v>385000</v>
      </c>
      <c r="E10" s="11">
        <f t="shared" ref="E10:F10" si="2">SUM(E3:E8)</f>
        <v>543</v>
      </c>
      <c r="F10" s="11">
        <f t="shared" si="2"/>
        <v>51580000</v>
      </c>
      <c r="G10" s="11"/>
      <c r="H10" s="11">
        <f>SUM(H3:H8)</f>
        <v>480500</v>
      </c>
      <c r="I10" s="43">
        <f>SUM(I3:I8)</f>
        <v>145335</v>
      </c>
      <c r="J10" s="11">
        <f>SUM(J3:J8)</f>
        <v>59700</v>
      </c>
      <c r="K10" s="19">
        <f>SUM(K3:K8)</f>
        <v>1417770</v>
      </c>
      <c r="M10" s="15"/>
    </row>
    <row r="11" spans="1:16" ht="14.25" thickBot="1">
      <c r="M11" s="15"/>
    </row>
    <row r="12" spans="1:16">
      <c r="A12" s="12" t="s">
        <v>6</v>
      </c>
      <c r="B12" s="12" t="s">
        <v>6</v>
      </c>
      <c r="C12" s="12" t="s">
        <v>6</v>
      </c>
      <c r="D12" s="12" t="s">
        <v>6</v>
      </c>
      <c r="E12" s="12" t="s">
        <v>6</v>
      </c>
      <c r="F12" s="12" t="s">
        <v>6</v>
      </c>
      <c r="K12" s="28"/>
      <c r="L12" s="1"/>
      <c r="M12" s="15"/>
    </row>
    <row r="13" spans="1:16" ht="14.25" thickBot="1">
      <c r="A13" s="13" t="s">
        <v>30</v>
      </c>
      <c r="B13" s="13" t="s">
        <v>32</v>
      </c>
      <c r="C13" s="13" t="s">
        <v>34</v>
      </c>
      <c r="D13" s="13" t="s">
        <v>36</v>
      </c>
      <c r="E13" s="13" t="s">
        <v>38</v>
      </c>
      <c r="F13" s="13" t="s">
        <v>23</v>
      </c>
      <c r="M13" s="23"/>
    </row>
    <row r="17" spans="4:13">
      <c r="G17" s="18"/>
      <c r="H17" s="18"/>
      <c r="I17" s="18"/>
      <c r="J17" s="18"/>
      <c r="K17" s="18"/>
    </row>
    <row r="18" spans="4:13">
      <c r="F18" s="18"/>
      <c r="G18" s="18"/>
      <c r="H18" s="18"/>
      <c r="I18" s="18"/>
      <c r="J18" s="18"/>
      <c r="K18" s="18"/>
      <c r="L18" s="18"/>
      <c r="M18" s="18"/>
    </row>
    <row r="19" spans="4:13">
      <c r="F19" s="18"/>
      <c r="G19" s="18"/>
      <c r="H19" s="18"/>
      <c r="I19" s="18"/>
      <c r="J19" s="18"/>
      <c r="K19" s="18"/>
      <c r="L19" s="18"/>
      <c r="M19" s="18"/>
    </row>
    <row r="20" spans="4:13">
      <c r="F20" s="18"/>
      <c r="G20" s="18"/>
      <c r="H20" s="18"/>
      <c r="I20" s="18"/>
      <c r="J20" s="18"/>
      <c r="K20" s="18"/>
      <c r="L20" s="18"/>
      <c r="M20" s="18"/>
    </row>
    <row r="21" spans="4:13">
      <c r="F21" s="18"/>
    </row>
    <row r="22" spans="4:13">
      <c r="F22" s="18"/>
    </row>
    <row r="23" spans="4:13">
      <c r="F23" s="18"/>
    </row>
    <row r="24" spans="4:13">
      <c r="F24" s="18"/>
    </row>
    <row r="25" spans="4:13">
      <c r="D25" s="14"/>
      <c r="E25" s="14"/>
      <c r="F25" s="14"/>
    </row>
    <row r="26" spans="4:13">
      <c r="D26" s="14"/>
      <c r="E26" s="14"/>
      <c r="F26" s="14"/>
    </row>
  </sheetData>
  <sortState xmlns:xlrd2="http://schemas.microsoft.com/office/spreadsheetml/2017/richdata2" ref="A3:K8">
    <sortCondition ref="K5:K8"/>
  </sortState>
  <mergeCells count="1">
    <mergeCell ref="A1:K1"/>
  </mergeCells>
  <phoneticPr fontId="3"/>
  <printOptions headings="1"/>
  <pageMargins left="0.35433070866141736" right="0.15748031496062992" top="0.98425196850393704" bottom="0.62992125984251968" header="0.51181102362204722" footer="0.51181102362204722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データＡ表</vt:lpstr>
      <vt:lpstr>データＢ表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2022-07-24T09:50:19Z</cp:lastPrinted>
  <dcterms:created xsi:type="dcterms:W3CDTF">2008-12-24T06:30:48Z</dcterms:created>
  <dcterms:modified xsi:type="dcterms:W3CDTF">2025-01-14T08:20:40Z</dcterms:modified>
</cp:coreProperties>
</file>