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\\svr01\移行用フォルダー\問題集\1表計算\2025(令和07)年度\3_SP初段\模範解答\"/>
    </mc:Choice>
  </mc:AlternateContent>
  <xr:revisionPtr revIDLastSave="0" documentId="13_ncr:1_{9768662F-8F5A-45F0-A650-79E15412F48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テーブル" sheetId="1" r:id="rId1"/>
    <sheet name="製品Ｘ" sheetId="7" r:id="rId2"/>
    <sheet name="製品Ｙ" sheetId="8" r:id="rId3"/>
    <sheet name="納品データ表" sheetId="11" r:id="rId4"/>
    <sheet name="計算表" sheetId="5" r:id="rId5"/>
  </sheets>
  <definedNames>
    <definedName name="_Hlk109632627" localSheetId="4">計算表!$M$2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1" l="1"/>
  <c r="D4" i="11"/>
  <c r="D5" i="11"/>
  <c r="D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" i="11"/>
  <c r="L4" i="5"/>
  <c r="F2" i="11"/>
  <c r="D4" i="5"/>
  <c r="C5" i="5"/>
  <c r="D5" i="5"/>
  <c r="C6" i="5"/>
  <c r="C8" i="5"/>
  <c r="C7" i="5"/>
  <c r="D6" i="5"/>
  <c r="D7" i="5"/>
  <c r="D8" i="5"/>
  <c r="C4" i="5"/>
  <c r="E4" i="5" l="1"/>
  <c r="F4" i="5" s="1"/>
  <c r="E5" i="5"/>
  <c r="F5" i="5" s="1"/>
  <c r="G5" i="5" s="1"/>
  <c r="E6" i="5"/>
  <c r="F6" i="5" s="1"/>
  <c r="E7" i="5"/>
  <c r="F7" i="5" s="1"/>
  <c r="E8" i="5"/>
  <c r="F8" i="5" s="1"/>
  <c r="E2" i="7"/>
  <c r="F2" i="7" s="1"/>
  <c r="F3" i="11"/>
  <c r="F4" i="1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B5" i="5"/>
  <c r="B6" i="5"/>
  <c r="B7" i="5"/>
  <c r="B8" i="5"/>
  <c r="B4" i="5"/>
  <c r="E26" i="8"/>
  <c r="F26" i="8" s="1"/>
  <c r="E25" i="8"/>
  <c r="F25" i="8" s="1"/>
  <c r="E24" i="8"/>
  <c r="F24" i="8" s="1"/>
  <c r="E23" i="8"/>
  <c r="F23" i="8" s="1"/>
  <c r="E22" i="8"/>
  <c r="F22" i="8" s="1"/>
  <c r="E21" i="8"/>
  <c r="F21" i="8" s="1"/>
  <c r="E20" i="8"/>
  <c r="F20" i="8" s="1"/>
  <c r="E19" i="8"/>
  <c r="F19" i="8" s="1"/>
  <c r="E18" i="8"/>
  <c r="F18" i="8" s="1"/>
  <c r="E17" i="8"/>
  <c r="F17" i="8" s="1"/>
  <c r="E16" i="8"/>
  <c r="F16" i="8" s="1"/>
  <c r="E15" i="8"/>
  <c r="F15" i="8" s="1"/>
  <c r="E14" i="8"/>
  <c r="F14" i="8" s="1"/>
  <c r="E13" i="8"/>
  <c r="F13" i="8" s="1"/>
  <c r="E12" i="8"/>
  <c r="F12" i="8" s="1"/>
  <c r="E11" i="8"/>
  <c r="F11" i="8" s="1"/>
  <c r="E10" i="8"/>
  <c r="F10" i="8" s="1"/>
  <c r="E9" i="8"/>
  <c r="F9" i="8" s="1"/>
  <c r="E8" i="8"/>
  <c r="F8" i="8" s="1"/>
  <c r="E7" i="8"/>
  <c r="F7" i="8" s="1"/>
  <c r="E6" i="8"/>
  <c r="E5" i="8"/>
  <c r="E4" i="8"/>
  <c r="E3" i="8"/>
  <c r="E2" i="8"/>
  <c r="F2" i="8" s="1"/>
  <c r="E3" i="7"/>
  <c r="F3" i="7" s="1"/>
  <c r="E4" i="7"/>
  <c r="F4" i="7" s="1"/>
  <c r="E19" i="7"/>
  <c r="F19" i="7" s="1"/>
  <c r="E20" i="7"/>
  <c r="F20" i="7" s="1"/>
  <c r="E21" i="7"/>
  <c r="F21" i="7" s="1"/>
  <c r="E22" i="7"/>
  <c r="F22" i="7" s="1"/>
  <c r="E23" i="7"/>
  <c r="F23" i="7" s="1"/>
  <c r="E24" i="7"/>
  <c r="F24" i="7" s="1"/>
  <c r="E5" i="7"/>
  <c r="F5" i="7" s="1"/>
  <c r="E13" i="7"/>
  <c r="F13" i="7" s="1"/>
  <c r="E6" i="7"/>
  <c r="F6" i="7" s="1"/>
  <c r="E14" i="7"/>
  <c r="F14" i="7" s="1"/>
  <c r="E7" i="7"/>
  <c r="F7" i="7" s="1"/>
  <c r="E15" i="7"/>
  <c r="F15" i="7" s="1"/>
  <c r="E16" i="7"/>
  <c r="F16" i="7" s="1"/>
  <c r="E8" i="7"/>
  <c r="F8" i="7" s="1"/>
  <c r="E17" i="7"/>
  <c r="F17" i="7" s="1"/>
  <c r="E25" i="7"/>
  <c r="F25" i="7" s="1"/>
  <c r="E26" i="7"/>
  <c r="F26" i="7" s="1"/>
  <c r="E18" i="7"/>
  <c r="F18" i="7" s="1"/>
  <c r="E9" i="7"/>
  <c r="F9" i="7" s="1"/>
  <c r="E10" i="7"/>
  <c r="F10" i="7" s="1"/>
  <c r="E11" i="7"/>
  <c r="F11" i="7" s="1"/>
  <c r="E12" i="7"/>
  <c r="F12" i="7" s="1"/>
  <c r="L7" i="5"/>
  <c r="L6" i="5"/>
  <c r="L3" i="5"/>
  <c r="L5" i="5"/>
  <c r="K7" i="5"/>
  <c r="K6" i="5"/>
  <c r="K3" i="5"/>
  <c r="K5" i="5"/>
  <c r="K4" i="5"/>
  <c r="G4" i="5" l="1"/>
  <c r="G6" i="5"/>
  <c r="G7" i="5"/>
  <c r="G8" i="5"/>
  <c r="F3" i="8"/>
  <c r="F4" i="8"/>
  <c r="F5" i="8"/>
  <c r="F6" i="8"/>
  <c r="L9" i="5"/>
  <c r="C10" i="5" l="1"/>
  <c r="D10" i="5" l="1"/>
  <c r="E10" i="5" l="1"/>
  <c r="M7" i="5"/>
  <c r="N7" i="5" s="1"/>
  <c r="M3" i="5"/>
  <c r="N3" i="5" s="1"/>
  <c r="M5" i="5"/>
  <c r="N5" i="5" s="1"/>
  <c r="M6" i="5"/>
  <c r="N6" i="5" s="1"/>
  <c r="F10" i="5" l="1"/>
  <c r="O5" i="5"/>
  <c r="O6" i="5"/>
  <c r="O7" i="5"/>
  <c r="O3" i="5"/>
  <c r="M4" i="5"/>
  <c r="N4" i="5" s="1"/>
  <c r="N9" i="5" s="1"/>
  <c r="H5" i="5" l="1"/>
  <c r="H7" i="5"/>
  <c r="H6" i="5"/>
  <c r="H8" i="5"/>
  <c r="G10" i="5"/>
  <c r="H4" i="5"/>
  <c r="M9" i="5"/>
  <c r="O4" i="5"/>
  <c r="O9" i="5" s="1"/>
</calcChain>
</file>

<file path=xl/sharedStrings.xml><?xml version="1.0" encoding="utf-8"?>
<sst xmlns="http://schemas.openxmlformats.org/spreadsheetml/2006/main" count="196" uniqueCount="67">
  <si>
    <t>合　計</t>
  </si>
  <si>
    <t>請求額</t>
  </si>
  <si>
    <t>A</t>
  </si>
  <si>
    <t>B</t>
  </si>
  <si>
    <t>C</t>
  </si>
  <si>
    <t>納品先別請求額計算表</t>
  </si>
  <si>
    <t>社員別支給額計算表</t>
  </si>
  <si>
    <t>社ＣＯ</t>
  </si>
  <si>
    <t>納ＣＯ</t>
  </si>
  <si>
    <t>納品先名</t>
  </si>
  <si>
    <t>諸経費</t>
  </si>
  <si>
    <t>社員名</t>
  </si>
  <si>
    <t>積立金</t>
  </si>
  <si>
    <t>支給額</t>
  </si>
  <si>
    <t>＜社員テーブル＞</t>
    <phoneticPr fontId="1"/>
  </si>
  <si>
    <t>＜納品先テーブル＞</t>
    <phoneticPr fontId="1"/>
  </si>
  <si>
    <t>社ＣＯ</t>
    <phoneticPr fontId="1"/>
  </si>
  <si>
    <t>区分</t>
    <rPh sb="0" eb="2">
      <t>クブン</t>
    </rPh>
    <phoneticPr fontId="1"/>
  </si>
  <si>
    <t>＜出来高単価テーブル＞</t>
    <rPh sb="1" eb="4">
      <t>デキダカ</t>
    </rPh>
    <rPh sb="4" eb="6">
      <t>タンカ</t>
    </rPh>
    <phoneticPr fontId="1"/>
  </si>
  <si>
    <t>納品数</t>
    <rPh sb="0" eb="3">
      <t>ノウヒンスウ</t>
    </rPh>
    <phoneticPr fontId="1"/>
  </si>
  <si>
    <t>社ＣＯ</t>
    <rPh sb="0" eb="1">
      <t>シャ</t>
    </rPh>
    <phoneticPr fontId="1"/>
  </si>
  <si>
    <t>納品数</t>
    <rPh sb="0" eb="2">
      <t>ノウヒン</t>
    </rPh>
    <rPh sb="2" eb="3">
      <t>スウ</t>
    </rPh>
    <phoneticPr fontId="1"/>
  </si>
  <si>
    <t>作業数</t>
    <rPh sb="0" eb="2">
      <t>サギョウ</t>
    </rPh>
    <rPh sb="2" eb="3">
      <t>スウ</t>
    </rPh>
    <phoneticPr fontId="1"/>
  </si>
  <si>
    <t>出来高賃金</t>
    <rPh sb="0" eb="3">
      <t>デキダカ</t>
    </rPh>
    <rPh sb="3" eb="5">
      <t>チンギン</t>
    </rPh>
    <phoneticPr fontId="1"/>
  </si>
  <si>
    <t>伝票番号</t>
    <rPh sb="0" eb="2">
      <t>デンピョウ</t>
    </rPh>
    <rPh sb="2" eb="4">
      <t>バンゴウ</t>
    </rPh>
    <phoneticPr fontId="1"/>
  </si>
  <si>
    <t>完成数</t>
    <rPh sb="0" eb="3">
      <t>カンセイスウ</t>
    </rPh>
    <phoneticPr fontId="1"/>
  </si>
  <si>
    <t>製品Ｘ</t>
    <rPh sb="0" eb="2">
      <t>セイヒン</t>
    </rPh>
    <phoneticPr fontId="1"/>
  </si>
  <si>
    <t>製品Ｙ</t>
    <rPh sb="0" eb="2">
      <t>セイヒン</t>
    </rPh>
    <phoneticPr fontId="1"/>
  </si>
  <si>
    <t>完成率</t>
    <rPh sb="0" eb="2">
      <t>カンセイ</t>
    </rPh>
    <rPh sb="2" eb="3">
      <t>リツ</t>
    </rPh>
    <phoneticPr fontId="1"/>
  </si>
  <si>
    <t>＜製品テーブル＞</t>
    <rPh sb="1" eb="3">
      <t>セイヒン</t>
    </rPh>
    <phoneticPr fontId="1"/>
  </si>
  <si>
    <t>製ＣＯ</t>
    <rPh sb="0" eb="1">
      <t>セイ</t>
    </rPh>
    <phoneticPr fontId="1"/>
  </si>
  <si>
    <t>製品名</t>
    <rPh sb="0" eb="2">
      <t>セイヒン</t>
    </rPh>
    <phoneticPr fontId="1"/>
  </si>
  <si>
    <t>製品単価</t>
    <rPh sb="0" eb="2">
      <t>セイヒン</t>
    </rPh>
    <rPh sb="2" eb="4">
      <t>タンカ</t>
    </rPh>
    <phoneticPr fontId="1"/>
  </si>
  <si>
    <t>技能手当</t>
    <rPh sb="0" eb="2">
      <t>ギノウ</t>
    </rPh>
    <rPh sb="2" eb="4">
      <t>テアテ</t>
    </rPh>
    <phoneticPr fontId="1"/>
  </si>
  <si>
    <t xml:space="preserve"> </t>
    <phoneticPr fontId="1"/>
  </si>
  <si>
    <t>作業週</t>
    <rPh sb="0" eb="2">
      <t>サギョウ</t>
    </rPh>
    <rPh sb="2" eb="3">
      <t>シュウ</t>
    </rPh>
    <phoneticPr fontId="1"/>
  </si>
  <si>
    <t>１２月１週</t>
    <rPh sb="2" eb="3">
      <t>ガツ</t>
    </rPh>
    <rPh sb="4" eb="5">
      <t>シュウ</t>
    </rPh>
    <phoneticPr fontId="1"/>
  </si>
  <si>
    <t>１２月２週</t>
    <rPh sb="2" eb="3">
      <t>ガツ</t>
    </rPh>
    <rPh sb="4" eb="5">
      <t>シュウ</t>
    </rPh>
    <phoneticPr fontId="1"/>
  </si>
  <si>
    <t>１２月３週</t>
    <rPh sb="2" eb="3">
      <t>ガツ</t>
    </rPh>
    <rPh sb="4" eb="5">
      <t>シュウ</t>
    </rPh>
    <phoneticPr fontId="1"/>
  </si>
  <si>
    <t>１２月４週</t>
    <rPh sb="2" eb="3">
      <t>ガツ</t>
    </rPh>
    <rPh sb="4" eb="5">
      <t>シュウ</t>
    </rPh>
    <phoneticPr fontId="1"/>
  </si>
  <si>
    <t>１２月５週</t>
    <rPh sb="2" eb="3">
      <t>ガツ</t>
    </rPh>
    <rPh sb="4" eb="5">
      <t>シュウ</t>
    </rPh>
    <phoneticPr fontId="1"/>
  </si>
  <si>
    <t>101B</t>
  </si>
  <si>
    <t>101B</t>
    <phoneticPr fontId="1"/>
  </si>
  <si>
    <t>102C</t>
  </si>
  <si>
    <t>102C</t>
    <phoneticPr fontId="1"/>
  </si>
  <si>
    <t>103B</t>
  </si>
  <si>
    <t>103B</t>
    <phoneticPr fontId="1"/>
  </si>
  <si>
    <t>104A</t>
  </si>
  <si>
    <t>104A</t>
    <phoneticPr fontId="1"/>
  </si>
  <si>
    <t>105C</t>
  </si>
  <si>
    <t>105C</t>
    <phoneticPr fontId="1"/>
  </si>
  <si>
    <t>鈴木　英也</t>
    <rPh sb="0" eb="2">
      <t>スズキ</t>
    </rPh>
    <rPh sb="3" eb="5">
      <t>ヒデヤ</t>
    </rPh>
    <phoneticPr fontId="1"/>
  </si>
  <si>
    <t>製造原価</t>
    <rPh sb="0" eb="2">
      <t>セイゾウ</t>
    </rPh>
    <rPh sb="2" eb="4">
      <t>ゲンカ</t>
    </rPh>
    <phoneticPr fontId="1"/>
  </si>
  <si>
    <t>徳光　誠一</t>
    <rPh sb="0" eb="2">
      <t>トクミツ</t>
    </rPh>
    <rPh sb="3" eb="5">
      <t>セイイチ</t>
    </rPh>
    <phoneticPr fontId="1"/>
  </si>
  <si>
    <t>五十嵐　瞳</t>
    <rPh sb="0" eb="3">
      <t>イガラシ</t>
    </rPh>
    <rPh sb="4" eb="5">
      <t>ヒトミ</t>
    </rPh>
    <phoneticPr fontId="1"/>
  </si>
  <si>
    <t>森　大五郎</t>
    <rPh sb="0" eb="1">
      <t>モリ</t>
    </rPh>
    <rPh sb="2" eb="5">
      <t>ダイゴロウ</t>
    </rPh>
    <phoneticPr fontId="1"/>
  </si>
  <si>
    <t>協栄電機</t>
    <rPh sb="0" eb="2">
      <t>キョウエイ</t>
    </rPh>
    <rPh sb="2" eb="4">
      <t>デンキ</t>
    </rPh>
    <rPh sb="3" eb="4">
      <t>キュウデン</t>
    </rPh>
    <phoneticPr fontId="1"/>
  </si>
  <si>
    <t>赤井金属</t>
    <rPh sb="0" eb="2">
      <t>アカイ</t>
    </rPh>
    <rPh sb="2" eb="4">
      <t>キンゾク</t>
    </rPh>
    <phoneticPr fontId="1"/>
  </si>
  <si>
    <t>ヤマモト</t>
    <phoneticPr fontId="1"/>
  </si>
  <si>
    <t>遠藤精密</t>
    <rPh sb="0" eb="2">
      <t>エンドウ</t>
    </rPh>
    <rPh sb="2" eb="4">
      <t>セイミツ</t>
    </rPh>
    <phoneticPr fontId="1"/>
  </si>
  <si>
    <t>ＹＫ製作</t>
    <rPh sb="2" eb="4">
      <t>セイサク</t>
    </rPh>
    <phoneticPr fontId="1"/>
  </si>
  <si>
    <t>＜利益率表＞</t>
    <rPh sb="1" eb="3">
      <t>リエキ</t>
    </rPh>
    <rPh sb="3" eb="4">
      <t>リツ</t>
    </rPh>
    <rPh sb="4" eb="5">
      <t>ヒョウ</t>
    </rPh>
    <phoneticPr fontId="1"/>
  </si>
  <si>
    <t>利益率</t>
    <rPh sb="0" eb="2">
      <t>リエキ</t>
    </rPh>
    <rPh sb="2" eb="3">
      <t>リツ</t>
    </rPh>
    <phoneticPr fontId="1"/>
  </si>
  <si>
    <t>納品代金</t>
  </si>
  <si>
    <t>評価</t>
    <rPh sb="0" eb="2">
      <t>ヒョウカ</t>
    </rPh>
    <phoneticPr fontId="1"/>
  </si>
  <si>
    <t>製品名</t>
    <rPh sb="0" eb="3">
      <t>セイヒンメイ</t>
    </rPh>
    <phoneticPr fontId="1"/>
  </si>
  <si>
    <t>加藤　夏美</t>
    <rPh sb="0" eb="2">
      <t>カトウ</t>
    </rPh>
    <rPh sb="3" eb="5">
      <t>ナツミ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</si>
</sst>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;[Red]\-#,##0.0"/>
    <numFmt numFmtId="177" formatCode="0.0%"/>
  </numFmts>
  <fonts count="7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11"/>
      <name val="ＭＳ 明朝"/>
      <family val="2"/>
      <charset val="128"/>
    </font>
    <font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0" fontId="0" fillId="0" borderId="5" xfId="0" applyBorder="1">
      <alignment vertical="center"/>
    </xf>
    <xf numFmtId="3" fontId="0" fillId="0" borderId="6" xfId="0" applyNumberForma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3" fontId="0" fillId="0" borderId="8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>
      <alignment vertical="center"/>
    </xf>
    <xf numFmtId="3" fontId="0" fillId="0" borderId="9" xfId="0" applyNumberFormat="1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>
      <alignment vertical="center"/>
    </xf>
    <xf numFmtId="3" fontId="3" fillId="0" borderId="1" xfId="0" applyNumberFormat="1" applyFont="1" applyBorder="1">
      <alignment vertical="center"/>
    </xf>
    <xf numFmtId="3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6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0" borderId="1" xfId="0" applyFon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3" xfId="0" applyBorder="1" applyAlignment="1">
      <alignment horizontal="center" vertical="center"/>
    </xf>
    <xf numFmtId="38" fontId="0" fillId="0" borderId="0" xfId="1" applyFont="1">
      <alignment vertical="center"/>
    </xf>
    <xf numFmtId="0" fontId="5" fillId="0" borderId="1" xfId="0" applyFont="1" applyBorder="1">
      <alignment vertical="center"/>
    </xf>
    <xf numFmtId="9" fontId="3" fillId="0" borderId="1" xfId="2" applyFont="1" applyBorder="1">
      <alignment vertical="center"/>
    </xf>
    <xf numFmtId="3" fontId="3" fillId="0" borderId="8" xfId="0" applyNumberFormat="1" applyFont="1" applyBorder="1">
      <alignment vertical="center"/>
    </xf>
    <xf numFmtId="38" fontId="0" fillId="0" borderId="5" xfId="1" applyFont="1" applyFill="1" applyBorder="1">
      <alignment vertical="center"/>
    </xf>
    <xf numFmtId="38" fontId="0" fillId="0" borderId="7" xfId="1" applyFont="1" applyFill="1" applyBorder="1">
      <alignment vertical="center"/>
    </xf>
    <xf numFmtId="0" fontId="5" fillId="0" borderId="0" xfId="0" applyFont="1">
      <alignment vertical="center"/>
    </xf>
    <xf numFmtId="176" fontId="3" fillId="0" borderId="0" xfId="1" applyNumberFormat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9" xfId="1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4" fillId="0" borderId="0" xfId="0" applyFont="1">
      <alignment vertical="center"/>
    </xf>
    <xf numFmtId="177" fontId="3" fillId="0" borderId="23" xfId="2" applyNumberFormat="1" applyFont="1" applyBorder="1">
      <alignment vertical="center"/>
    </xf>
    <xf numFmtId="177" fontId="3" fillId="0" borderId="24" xfId="2" applyNumberFormat="1" applyFont="1" applyBorder="1">
      <alignment vertical="center"/>
    </xf>
    <xf numFmtId="14" fontId="3" fillId="0" borderId="5" xfId="0" applyNumberFormat="1" applyFont="1" applyBorder="1">
      <alignment vertical="center"/>
    </xf>
    <xf numFmtId="14" fontId="3" fillId="0" borderId="7" xfId="0" applyNumberFormat="1" applyFont="1" applyBorder="1">
      <alignment vertical="center"/>
    </xf>
    <xf numFmtId="0" fontId="6" fillId="0" borderId="25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right" vertical="center"/>
    </xf>
    <xf numFmtId="0" fontId="0" fillId="0" borderId="26" xfId="0" applyBorder="1">
      <alignment vertical="center"/>
    </xf>
    <xf numFmtId="0" fontId="0" fillId="0" borderId="27" xfId="0" applyBorder="1" applyAlignment="1">
      <alignment horizontal="center" vertical="center"/>
    </xf>
    <xf numFmtId="3" fontId="0" fillId="0" borderId="23" xfId="0" applyNumberFormat="1" applyBorder="1">
      <alignment vertical="center"/>
    </xf>
    <xf numFmtId="0" fontId="0" fillId="0" borderId="23" xfId="0" applyBorder="1">
      <alignment vertical="center"/>
    </xf>
    <xf numFmtId="3" fontId="0" fillId="0" borderId="24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8" xfId="0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en-US"/>
              <a:t>納品先別の集計グラフ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計算表!$O$2</c:f>
              <c:strCache>
                <c:ptCount val="1"/>
                <c:pt idx="0">
                  <c:v>請求額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計算表!$K$3:$K$7</c:f>
              <c:strCache>
                <c:ptCount val="5"/>
                <c:pt idx="0">
                  <c:v>ヤマモト</c:v>
                </c:pt>
                <c:pt idx="1">
                  <c:v>遠藤精密</c:v>
                </c:pt>
                <c:pt idx="2">
                  <c:v>協栄電機</c:v>
                </c:pt>
                <c:pt idx="3">
                  <c:v>ＹＫ製作</c:v>
                </c:pt>
                <c:pt idx="4">
                  <c:v>赤井金属</c:v>
                </c:pt>
              </c:strCache>
            </c:strRef>
          </c:cat>
          <c:val>
            <c:numRef>
              <c:f>計算表!$O$3:$O$7</c:f>
              <c:numCache>
                <c:formatCode>#,##0</c:formatCode>
                <c:ptCount val="5"/>
                <c:pt idx="0">
                  <c:v>1115915</c:v>
                </c:pt>
                <c:pt idx="1">
                  <c:v>1123309</c:v>
                </c:pt>
                <c:pt idx="2">
                  <c:v>982535</c:v>
                </c:pt>
                <c:pt idx="3">
                  <c:v>991506</c:v>
                </c:pt>
                <c:pt idx="4">
                  <c:v>835879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EE-483E-B89A-DEEA444105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9055920"/>
        <c:axId val="639055592"/>
      </c:barChart>
      <c:lineChart>
        <c:grouping val="standard"/>
        <c:varyColors val="0"/>
        <c:ser>
          <c:idx val="0"/>
          <c:order val="0"/>
          <c:tx>
            <c:strRef>
              <c:f>計算表!$L$2</c:f>
              <c:strCache>
                <c:ptCount val="1"/>
                <c:pt idx="0">
                  <c:v>納品数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計算表!$K$3:$K$7</c:f>
              <c:strCache>
                <c:ptCount val="5"/>
                <c:pt idx="0">
                  <c:v>ヤマモト</c:v>
                </c:pt>
                <c:pt idx="1">
                  <c:v>遠藤精密</c:v>
                </c:pt>
                <c:pt idx="2">
                  <c:v>協栄電機</c:v>
                </c:pt>
                <c:pt idx="3">
                  <c:v>ＹＫ製作</c:v>
                </c:pt>
                <c:pt idx="4">
                  <c:v>赤井金属</c:v>
                </c:pt>
              </c:strCache>
            </c:strRef>
          </c:cat>
          <c:val>
            <c:numRef>
              <c:f>計算表!$L$3:$L$7</c:f>
              <c:numCache>
                <c:formatCode>#,##0</c:formatCode>
                <c:ptCount val="5"/>
                <c:pt idx="0">
                  <c:v>3773</c:v>
                </c:pt>
                <c:pt idx="1">
                  <c:v>3594</c:v>
                </c:pt>
                <c:pt idx="2">
                  <c:v>3354</c:v>
                </c:pt>
                <c:pt idx="3">
                  <c:v>3038</c:v>
                </c:pt>
                <c:pt idx="4">
                  <c:v>3013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EE-483E-B89A-DEEA444105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385352"/>
        <c:axId val="464387976"/>
      </c:lineChart>
      <c:catAx>
        <c:axId val="464385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7976"/>
        <c:crosses val="autoZero"/>
        <c:auto val="1"/>
        <c:lblAlgn val="ctr"/>
        <c:lblOffset val="100"/>
        <c:noMultiLvlLbl val="0"/>
      </c:catAx>
      <c:valAx>
        <c:axId val="46438797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5352"/>
        <c:crosses val="autoZero"/>
        <c:crossBetween val="between"/>
      </c:valAx>
      <c:valAx>
        <c:axId val="639055592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639055920"/>
        <c:crosses val="max"/>
        <c:crossBetween val="between"/>
      </c:valAx>
      <c:catAx>
        <c:axId val="6390559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39055592"/>
        <c:crosses val="autoZero"/>
        <c:auto val="1"/>
        <c:lblAlgn val="ctr"/>
        <c:lblOffset val="100"/>
        <c:noMultiLvlLbl val="0"/>
      </c:catAx>
      <c:spPr>
        <a:solidFill>
          <a:schemeClr val="lt1"/>
        </a:solidFill>
        <a:ln>
          <a:solidFill>
            <a:schemeClr val="dk1"/>
          </a:solidFill>
        </a:ln>
        <a:effectLst/>
      </c:spPr>
    </c:plotArea>
    <c:legend>
      <c:legendPos val="r"/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chemeClr val="tx1"/>
          </a:solidFill>
          <a:latin typeface="ＭＳ 明朝" panose="02020609040205080304" pitchFamily="17" charset="-128"/>
          <a:ea typeface="ＭＳ 明朝" panose="02020609040205080304" pitchFamily="17" charset="-128"/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428626</xdr:colOff>
      <xdr:row>15</xdr:row>
      <xdr:rowOff>4762</xdr:rowOff>
    </xdr:from>
    <xdr:to>
      <xdr:col>19</xdr:col>
      <xdr:colOff>161926</xdr:colOff>
      <xdr:row>31</xdr:row>
      <xdr:rowOff>133350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C3E49455-A113-4F0C-A5E4-6A0FE7F7DD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"/>
  <sheetViews>
    <sheetView tabSelected="1" zoomScaleNormal="100" workbookViewId="0"/>
  </sheetViews>
  <sheetFormatPr defaultRowHeight="13.5"/>
  <cols>
    <col min="1" max="1" width="5.5" bestFit="1" customWidth="1"/>
    <col min="2" max="3" width="7.5" bestFit="1" customWidth="1"/>
    <col min="4" max="4" width="5.625" customWidth="1"/>
    <col min="5" max="5" width="7.5" customWidth="1"/>
    <col min="6" max="6" width="7.5" bestFit="1" customWidth="1"/>
    <col min="7" max="7" width="9.5" bestFit="1" customWidth="1"/>
    <col min="8" max="8" width="5.625" customWidth="1"/>
    <col min="9" max="9" width="7.5" customWidth="1"/>
    <col min="10" max="10" width="7.5" bestFit="1" customWidth="1"/>
    <col min="11" max="11" width="5.625" customWidth="1"/>
    <col min="12" max="12" width="7.5" bestFit="1" customWidth="1"/>
    <col min="13" max="13" width="11.625" bestFit="1" customWidth="1"/>
    <col min="14" max="14" width="5.625" customWidth="1"/>
    <col min="15" max="15" width="7.5" customWidth="1"/>
    <col min="16" max="16" width="9.5" bestFit="1" customWidth="1"/>
    <col min="17" max="17" width="5.625" customWidth="1"/>
    <col min="18" max="20" width="7.5" bestFit="1" customWidth="1"/>
  </cols>
  <sheetData>
    <row r="1" spans="1:16">
      <c r="A1" t="s">
        <v>18</v>
      </c>
      <c r="E1" t="s">
        <v>29</v>
      </c>
      <c r="I1" t="s">
        <v>61</v>
      </c>
      <c r="L1" t="s">
        <v>14</v>
      </c>
      <c r="O1" t="s">
        <v>15</v>
      </c>
    </row>
    <row r="2" spans="1:16">
      <c r="A2" s="1" t="s">
        <v>17</v>
      </c>
      <c r="B2" s="42" t="s">
        <v>26</v>
      </c>
      <c r="C2" s="42" t="s">
        <v>27</v>
      </c>
      <c r="D2" s="19"/>
      <c r="E2" s="1" t="s">
        <v>30</v>
      </c>
      <c r="F2" s="1" t="s">
        <v>31</v>
      </c>
      <c r="G2" s="1" t="s">
        <v>52</v>
      </c>
      <c r="H2" s="19"/>
      <c r="I2" s="1" t="s">
        <v>19</v>
      </c>
      <c r="J2" s="1" t="s">
        <v>62</v>
      </c>
      <c r="L2" s="1" t="s">
        <v>16</v>
      </c>
      <c r="M2" s="1" t="s">
        <v>11</v>
      </c>
      <c r="O2" s="42" t="s">
        <v>8</v>
      </c>
      <c r="P2" s="42" t="s">
        <v>9</v>
      </c>
    </row>
    <row r="3" spans="1:16">
      <c r="A3" s="33" t="s">
        <v>2</v>
      </c>
      <c r="B3" s="50">
        <v>85.9</v>
      </c>
      <c r="C3" s="50">
        <v>66.800000000000011</v>
      </c>
      <c r="D3" s="38"/>
      <c r="E3" s="2">
        <v>1001</v>
      </c>
      <c r="F3" s="33" t="s">
        <v>26</v>
      </c>
      <c r="G3" s="33">
        <v>246</v>
      </c>
      <c r="I3" s="17">
        <v>1</v>
      </c>
      <c r="J3" s="34">
        <v>0.28999999999999998</v>
      </c>
      <c r="L3" s="33" t="s">
        <v>42</v>
      </c>
      <c r="M3" s="33" t="s">
        <v>53</v>
      </c>
      <c r="O3" s="33">
        <v>11</v>
      </c>
      <c r="P3" s="33" t="s">
        <v>57</v>
      </c>
    </row>
    <row r="4" spans="1:16">
      <c r="A4" s="33" t="s">
        <v>3</v>
      </c>
      <c r="B4" s="50">
        <v>84.5</v>
      </c>
      <c r="C4" s="50">
        <v>65.599999999999994</v>
      </c>
      <c r="D4" s="39"/>
      <c r="E4" s="2">
        <v>1002</v>
      </c>
      <c r="F4" s="33" t="s">
        <v>27</v>
      </c>
      <c r="G4" s="33">
        <v>193</v>
      </c>
      <c r="I4" s="17">
        <v>650</v>
      </c>
      <c r="J4" s="34">
        <v>0.28000000000000003</v>
      </c>
      <c r="L4" s="33" t="s">
        <v>44</v>
      </c>
      <c r="M4" s="33" t="s">
        <v>54</v>
      </c>
      <c r="O4" s="33">
        <v>12</v>
      </c>
      <c r="P4" s="33" t="s">
        <v>58</v>
      </c>
    </row>
    <row r="5" spans="1:16">
      <c r="A5" s="33" t="s">
        <v>4</v>
      </c>
      <c r="B5" s="50">
        <v>83.3</v>
      </c>
      <c r="C5" s="50">
        <v>64.7</v>
      </c>
      <c r="D5" s="39"/>
      <c r="F5" s="44"/>
      <c r="G5" s="44"/>
      <c r="I5" s="17">
        <v>780</v>
      </c>
      <c r="J5" s="34">
        <v>0.27</v>
      </c>
      <c r="L5" s="33" t="s">
        <v>46</v>
      </c>
      <c r="M5" s="33" t="s">
        <v>55</v>
      </c>
      <c r="O5" s="33">
        <v>13</v>
      </c>
      <c r="P5" s="33" t="s">
        <v>56</v>
      </c>
    </row>
    <row r="6" spans="1:16">
      <c r="D6" s="39"/>
      <c r="I6" s="39"/>
      <c r="J6" s="39"/>
      <c r="L6" s="33" t="s">
        <v>48</v>
      </c>
      <c r="M6" s="33" t="s">
        <v>66</v>
      </c>
      <c r="O6" s="33">
        <v>14</v>
      </c>
      <c r="P6" s="33" t="s">
        <v>60</v>
      </c>
    </row>
    <row r="7" spans="1:16">
      <c r="L7" s="33" t="s">
        <v>50</v>
      </c>
      <c r="M7" s="33" t="s">
        <v>51</v>
      </c>
      <c r="O7" s="33">
        <v>15</v>
      </c>
      <c r="P7" s="33" t="s">
        <v>59</v>
      </c>
    </row>
  </sheetData>
  <sortState xmlns:xlrd2="http://schemas.microsoft.com/office/spreadsheetml/2017/richdata2" ref="J9:J11">
    <sortCondition ref="J9:J11"/>
  </sortState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FB47C-BE98-4589-954A-CA984A13C089}">
  <dimension ref="A1:F31"/>
  <sheetViews>
    <sheetView workbookViewId="0"/>
  </sheetViews>
  <sheetFormatPr defaultRowHeight="13.5"/>
  <cols>
    <col min="1" max="1" width="11.625" bestFit="1" customWidth="1"/>
    <col min="2" max="3" width="7.5" bestFit="1" customWidth="1"/>
    <col min="4" max="5" width="7.5" customWidth="1"/>
    <col min="6" max="6" width="11.625" bestFit="1" customWidth="1"/>
  </cols>
  <sheetData>
    <row r="1" spans="1:6">
      <c r="A1" s="21" t="s">
        <v>35</v>
      </c>
      <c r="B1" s="31" t="s">
        <v>20</v>
      </c>
      <c r="C1" s="31" t="s">
        <v>22</v>
      </c>
      <c r="D1" s="43" t="s">
        <v>25</v>
      </c>
      <c r="E1" s="43" t="s">
        <v>28</v>
      </c>
      <c r="F1" s="20" t="s">
        <v>23</v>
      </c>
    </row>
    <row r="2" spans="1:6">
      <c r="A2" s="47" t="s">
        <v>36</v>
      </c>
      <c r="B2" s="2" t="s">
        <v>41</v>
      </c>
      <c r="C2" s="2">
        <v>382</v>
      </c>
      <c r="D2" s="28">
        <v>369</v>
      </c>
      <c r="E2" s="45">
        <f>ROUNDUP(D2/C2,3)</f>
        <v>0.96599999999999997</v>
      </c>
      <c r="F2" s="40">
        <f>ROUNDUP(VLOOKUP(RIGHT(B2,1),テーブル!$A$3:$C$5,2,0)*D2*E2,0)</f>
        <v>30121</v>
      </c>
    </row>
    <row r="3" spans="1:6">
      <c r="A3" s="47" t="s">
        <v>36</v>
      </c>
      <c r="B3" s="2" t="s">
        <v>43</v>
      </c>
      <c r="C3" s="2">
        <v>320</v>
      </c>
      <c r="D3" s="28">
        <v>297</v>
      </c>
      <c r="E3" s="45">
        <f t="shared" ref="E3:E26" si="0">ROUNDUP(D3/C3,3)</f>
        <v>0.92900000000000005</v>
      </c>
      <c r="F3" s="40">
        <f>ROUNDUP(VLOOKUP(RIGHT(B3,1),テーブル!$A$3:$C$5,2,0)*D3*E3,0)</f>
        <v>22984</v>
      </c>
    </row>
    <row r="4" spans="1:6">
      <c r="A4" s="47" t="s">
        <v>36</v>
      </c>
      <c r="B4" s="2" t="s">
        <v>45</v>
      </c>
      <c r="C4" s="2">
        <v>329</v>
      </c>
      <c r="D4" s="28">
        <v>312</v>
      </c>
      <c r="E4" s="45">
        <f t="shared" si="0"/>
        <v>0.94899999999999995</v>
      </c>
      <c r="F4" s="40">
        <f>ROUNDUP(VLOOKUP(RIGHT(B4,1),テーブル!$A$3:$C$5,2,0)*D4*E4,0)</f>
        <v>25020</v>
      </c>
    </row>
    <row r="5" spans="1:6">
      <c r="A5" s="47" t="s">
        <v>36</v>
      </c>
      <c r="B5" s="2" t="s">
        <v>47</v>
      </c>
      <c r="C5" s="2">
        <v>383</v>
      </c>
      <c r="D5" s="28">
        <v>354</v>
      </c>
      <c r="E5" s="45">
        <f t="shared" si="0"/>
        <v>0.92500000000000004</v>
      </c>
      <c r="F5" s="40">
        <f>ROUNDUP(VLOOKUP(RIGHT(B5,1),テーブル!$A$3:$C$5,2,0)*D5*E5,0)</f>
        <v>28128</v>
      </c>
    </row>
    <row r="6" spans="1:6">
      <c r="A6" s="47" t="s">
        <v>36</v>
      </c>
      <c r="B6" s="2" t="s">
        <v>49</v>
      </c>
      <c r="C6" s="2">
        <v>353</v>
      </c>
      <c r="D6" s="28">
        <v>340</v>
      </c>
      <c r="E6" s="45">
        <f t="shared" si="0"/>
        <v>0.96399999999999997</v>
      </c>
      <c r="F6" s="40">
        <f>ROUNDUP(VLOOKUP(RIGHT(B6,1),テーブル!$A$3:$C$5,2,0)*D6*E6,0)</f>
        <v>27303</v>
      </c>
    </row>
    <row r="7" spans="1:6">
      <c r="A7" s="47" t="s">
        <v>37</v>
      </c>
      <c r="B7" s="2" t="s">
        <v>41</v>
      </c>
      <c r="C7" s="2">
        <v>382</v>
      </c>
      <c r="D7" s="28">
        <v>356</v>
      </c>
      <c r="E7" s="45">
        <f t="shared" si="0"/>
        <v>0.93200000000000005</v>
      </c>
      <c r="F7" s="40">
        <f>ROUNDUP(VLOOKUP(RIGHT(B7,1),テーブル!$A$3:$C$5,2,0)*D7*E7,0)</f>
        <v>28037</v>
      </c>
    </row>
    <row r="8" spans="1:6">
      <c r="A8" s="47" t="s">
        <v>37</v>
      </c>
      <c r="B8" s="2" t="s">
        <v>43</v>
      </c>
      <c r="C8" s="2">
        <v>370</v>
      </c>
      <c r="D8" s="28">
        <v>350</v>
      </c>
      <c r="E8" s="45">
        <f t="shared" si="0"/>
        <v>0.94599999999999995</v>
      </c>
      <c r="F8" s="40">
        <f>ROUNDUP(VLOOKUP(RIGHT(B8,1),テーブル!$A$3:$C$5,2,0)*D8*E8,0)</f>
        <v>27581</v>
      </c>
    </row>
    <row r="9" spans="1:6">
      <c r="A9" s="47" t="s">
        <v>37</v>
      </c>
      <c r="B9" s="2" t="s">
        <v>45</v>
      </c>
      <c r="C9" s="2">
        <v>390</v>
      </c>
      <c r="D9" s="28">
        <v>376</v>
      </c>
      <c r="E9" s="45">
        <f t="shared" si="0"/>
        <v>0.96499999999999997</v>
      </c>
      <c r="F9" s="40">
        <f>ROUNDUP(VLOOKUP(RIGHT(B9,1),テーブル!$A$3:$C$5,2,0)*D9*E9,0)</f>
        <v>30660</v>
      </c>
    </row>
    <row r="10" spans="1:6">
      <c r="A10" s="47" t="s">
        <v>37</v>
      </c>
      <c r="B10" s="2" t="s">
        <v>47</v>
      </c>
      <c r="C10" s="2">
        <v>356</v>
      </c>
      <c r="D10" s="28">
        <v>338</v>
      </c>
      <c r="E10" s="45">
        <f t="shared" si="0"/>
        <v>0.95</v>
      </c>
      <c r="F10" s="40">
        <f>ROUNDUP(VLOOKUP(RIGHT(B10,1),テーブル!$A$3:$C$5,2,0)*D10*E10,0)</f>
        <v>27583</v>
      </c>
    </row>
    <row r="11" spans="1:6">
      <c r="A11" s="47" t="s">
        <v>37</v>
      </c>
      <c r="B11" s="2" t="s">
        <v>49</v>
      </c>
      <c r="C11" s="2">
        <v>371</v>
      </c>
      <c r="D11" s="28">
        <v>356</v>
      </c>
      <c r="E11" s="45">
        <f t="shared" si="0"/>
        <v>0.96</v>
      </c>
      <c r="F11" s="40">
        <f>ROUNDUP(VLOOKUP(RIGHT(B11,1),テーブル!$A$3:$C$5,2,0)*D11*E11,0)</f>
        <v>28469</v>
      </c>
    </row>
    <row r="12" spans="1:6">
      <c r="A12" s="47" t="s">
        <v>38</v>
      </c>
      <c r="B12" s="2" t="s">
        <v>41</v>
      </c>
      <c r="C12" s="2">
        <v>360</v>
      </c>
      <c r="D12" s="28">
        <v>341</v>
      </c>
      <c r="E12" s="45">
        <f t="shared" si="0"/>
        <v>0.94799999999999995</v>
      </c>
      <c r="F12" s="40">
        <f>ROUNDUP(VLOOKUP(RIGHT(B12,1),テーブル!$A$3:$C$5,2,0)*D12*E12,0)</f>
        <v>27317</v>
      </c>
    </row>
    <row r="13" spans="1:6">
      <c r="A13" s="47" t="s">
        <v>38</v>
      </c>
      <c r="B13" s="2" t="s">
        <v>43</v>
      </c>
      <c r="C13" s="2">
        <v>320</v>
      </c>
      <c r="D13" s="28">
        <v>300</v>
      </c>
      <c r="E13" s="45">
        <f t="shared" si="0"/>
        <v>0.93800000000000006</v>
      </c>
      <c r="F13" s="40">
        <f>ROUNDUP(VLOOKUP(RIGHT(B13,1),テーブル!$A$3:$C$5,2,0)*D13*E13,0)</f>
        <v>23441</v>
      </c>
    </row>
    <row r="14" spans="1:6">
      <c r="A14" s="47" t="s">
        <v>38</v>
      </c>
      <c r="B14" s="2" t="s">
        <v>45</v>
      </c>
      <c r="C14" s="2">
        <v>335</v>
      </c>
      <c r="D14" s="28">
        <v>310</v>
      </c>
      <c r="E14" s="45">
        <f t="shared" si="0"/>
        <v>0.92600000000000005</v>
      </c>
      <c r="F14" s="40">
        <f>ROUNDUP(VLOOKUP(RIGHT(B14,1),テーブル!$A$3:$C$5,2,0)*D14*E14,0)</f>
        <v>24257</v>
      </c>
    </row>
    <row r="15" spans="1:6">
      <c r="A15" s="47" t="s">
        <v>38</v>
      </c>
      <c r="B15" s="2" t="s">
        <v>47</v>
      </c>
      <c r="C15" s="2">
        <v>314</v>
      </c>
      <c r="D15" s="28">
        <v>301</v>
      </c>
      <c r="E15" s="45">
        <f t="shared" si="0"/>
        <v>0.95899999999999996</v>
      </c>
      <c r="F15" s="40">
        <f>ROUNDUP(VLOOKUP(RIGHT(B15,1),テーブル!$A$3:$C$5,2,0)*D15*E15,0)</f>
        <v>24796</v>
      </c>
    </row>
    <row r="16" spans="1:6">
      <c r="A16" s="47" t="s">
        <v>38</v>
      </c>
      <c r="B16" s="2" t="s">
        <v>49</v>
      </c>
      <c r="C16" s="2">
        <v>324</v>
      </c>
      <c r="D16" s="28">
        <v>305</v>
      </c>
      <c r="E16" s="45">
        <f t="shared" si="0"/>
        <v>0.94199999999999995</v>
      </c>
      <c r="F16" s="40">
        <f>ROUNDUP(VLOOKUP(RIGHT(B16,1),テーブル!$A$3:$C$5,2,0)*D16*E16,0)</f>
        <v>23933</v>
      </c>
    </row>
    <row r="17" spans="1:6">
      <c r="A17" s="47" t="s">
        <v>39</v>
      </c>
      <c r="B17" s="2" t="s">
        <v>41</v>
      </c>
      <c r="C17" s="2">
        <v>345</v>
      </c>
      <c r="D17" s="28">
        <v>324</v>
      </c>
      <c r="E17" s="45">
        <f t="shared" si="0"/>
        <v>0.94</v>
      </c>
      <c r="F17" s="40">
        <f>ROUNDUP(VLOOKUP(RIGHT(B17,1),テーブル!$A$3:$C$5,2,0)*D17*E17,0)</f>
        <v>25736</v>
      </c>
    </row>
    <row r="18" spans="1:6">
      <c r="A18" s="47" t="s">
        <v>39</v>
      </c>
      <c r="B18" s="2" t="s">
        <v>43</v>
      </c>
      <c r="C18" s="2">
        <v>351</v>
      </c>
      <c r="D18" s="28">
        <v>328</v>
      </c>
      <c r="E18" s="45">
        <f t="shared" si="0"/>
        <v>0.93500000000000005</v>
      </c>
      <c r="F18" s="40">
        <f>ROUNDUP(VLOOKUP(RIGHT(B18,1),テーブル!$A$3:$C$5,2,0)*D18*E18,0)</f>
        <v>25547</v>
      </c>
    </row>
    <row r="19" spans="1:6">
      <c r="A19" s="47" t="s">
        <v>39</v>
      </c>
      <c r="B19" s="2" t="s">
        <v>45</v>
      </c>
      <c r="C19" s="2">
        <v>392</v>
      </c>
      <c r="D19" s="28">
        <v>374</v>
      </c>
      <c r="E19" s="45">
        <f t="shared" si="0"/>
        <v>0.95499999999999996</v>
      </c>
      <c r="F19" s="40">
        <f>ROUNDUP(VLOOKUP(RIGHT(B19,1),テーブル!$A$3:$C$5,2,0)*D19*E19,0)</f>
        <v>30181</v>
      </c>
    </row>
    <row r="20" spans="1:6">
      <c r="A20" s="47" t="s">
        <v>39</v>
      </c>
      <c r="B20" s="2" t="s">
        <v>47</v>
      </c>
      <c r="C20" s="2">
        <v>340</v>
      </c>
      <c r="D20" s="28">
        <v>317</v>
      </c>
      <c r="E20" s="45">
        <f t="shared" si="0"/>
        <v>0.93300000000000005</v>
      </c>
      <c r="F20" s="40">
        <f>ROUNDUP(VLOOKUP(RIGHT(B20,1),テーブル!$A$3:$C$5,2,0)*D20*E20,0)</f>
        <v>25406</v>
      </c>
    </row>
    <row r="21" spans="1:6">
      <c r="A21" s="47" t="s">
        <v>39</v>
      </c>
      <c r="B21" s="2" t="s">
        <v>49</v>
      </c>
      <c r="C21" s="2">
        <v>336</v>
      </c>
      <c r="D21" s="28">
        <v>320</v>
      </c>
      <c r="E21" s="45">
        <f t="shared" si="0"/>
        <v>0.95299999999999996</v>
      </c>
      <c r="F21" s="40">
        <f>ROUNDUP(VLOOKUP(RIGHT(B21,1),テーブル!$A$3:$C$5,2,0)*D21*E21,0)</f>
        <v>25404</v>
      </c>
    </row>
    <row r="22" spans="1:6">
      <c r="A22" s="47" t="s">
        <v>40</v>
      </c>
      <c r="B22" s="2" t="s">
        <v>41</v>
      </c>
      <c r="C22" s="2">
        <v>292</v>
      </c>
      <c r="D22" s="2">
        <v>278</v>
      </c>
      <c r="E22" s="45">
        <f t="shared" si="0"/>
        <v>0.95299999999999996</v>
      </c>
      <c r="F22" s="40">
        <f>ROUNDUP(VLOOKUP(RIGHT(B22,1),テーブル!$A$3:$C$5,2,0)*D22*E22,0)</f>
        <v>22387</v>
      </c>
    </row>
    <row r="23" spans="1:6">
      <c r="A23" s="47" t="s">
        <v>40</v>
      </c>
      <c r="B23" s="2" t="s">
        <v>43</v>
      </c>
      <c r="C23" s="2">
        <v>289</v>
      </c>
      <c r="D23" s="2">
        <v>274</v>
      </c>
      <c r="E23" s="45">
        <f t="shared" si="0"/>
        <v>0.94899999999999995</v>
      </c>
      <c r="F23" s="40">
        <f>ROUNDUP(VLOOKUP(RIGHT(B23,1),テーブル!$A$3:$C$5,2,0)*D23*E23,0)</f>
        <v>21661</v>
      </c>
    </row>
    <row r="24" spans="1:6">
      <c r="A24" s="47" t="s">
        <v>40</v>
      </c>
      <c r="B24" s="2" t="s">
        <v>45</v>
      </c>
      <c r="C24" s="2">
        <v>273</v>
      </c>
      <c r="D24" s="2">
        <v>251</v>
      </c>
      <c r="E24" s="45">
        <f t="shared" si="0"/>
        <v>0.92</v>
      </c>
      <c r="F24" s="40">
        <f>ROUNDUP(VLOOKUP(RIGHT(B24,1),テーブル!$A$3:$C$5,2,0)*D24*E24,0)</f>
        <v>19513</v>
      </c>
    </row>
    <row r="25" spans="1:6">
      <c r="A25" s="47" t="s">
        <v>40</v>
      </c>
      <c r="B25" s="2" t="s">
        <v>47</v>
      </c>
      <c r="C25" s="2">
        <v>285</v>
      </c>
      <c r="D25" s="2">
        <v>260</v>
      </c>
      <c r="E25" s="45">
        <f t="shared" si="0"/>
        <v>0.91300000000000003</v>
      </c>
      <c r="F25" s="40">
        <f>ROUNDUP(VLOOKUP(RIGHT(B25,1),テーブル!$A$3:$C$5,2,0)*D25*E25,0)</f>
        <v>20391</v>
      </c>
    </row>
    <row r="26" spans="1:6" ht="14.25" thickBot="1">
      <c r="A26" s="48" t="s">
        <v>40</v>
      </c>
      <c r="B26" s="29" t="s">
        <v>49</v>
      </c>
      <c r="C26" s="29">
        <v>301</v>
      </c>
      <c r="D26" s="29">
        <v>280</v>
      </c>
      <c r="E26" s="46">
        <f t="shared" si="0"/>
        <v>0.93100000000000005</v>
      </c>
      <c r="F26" s="41">
        <f>ROUNDUP(VLOOKUP(RIGHT(B26,1),テーブル!$A$3:$C$5,2,0)*D26*E26,0)</f>
        <v>21715</v>
      </c>
    </row>
    <row r="27" spans="1:6">
      <c r="C27" s="18"/>
      <c r="D27" s="18"/>
      <c r="E27" s="18"/>
      <c r="F27" s="18"/>
    </row>
    <row r="28" spans="1:6">
      <c r="D28" s="18"/>
    </row>
    <row r="31" spans="1:6">
      <c r="A31" t="s">
        <v>34</v>
      </c>
    </row>
  </sheetData>
  <sortState xmlns:xlrd2="http://schemas.microsoft.com/office/spreadsheetml/2017/richdata2" ref="A2:F29">
    <sortCondition ref="B2:B29"/>
  </sortState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B8D3D-1DFD-4A91-BB84-AF413758BF03}">
  <dimension ref="A1:G28"/>
  <sheetViews>
    <sheetView workbookViewId="0"/>
  </sheetViews>
  <sheetFormatPr defaultRowHeight="13.5"/>
  <cols>
    <col min="1" max="1" width="11.625" bestFit="1" customWidth="1"/>
    <col min="2" max="3" width="7.5" bestFit="1" customWidth="1"/>
    <col min="4" max="5" width="7.5" customWidth="1"/>
    <col min="6" max="6" width="11.625" customWidth="1"/>
  </cols>
  <sheetData>
    <row r="1" spans="1:6">
      <c r="A1" s="21" t="s">
        <v>35</v>
      </c>
      <c r="B1" s="31" t="s">
        <v>20</v>
      </c>
      <c r="C1" s="31" t="s">
        <v>22</v>
      </c>
      <c r="D1" s="43" t="s">
        <v>25</v>
      </c>
      <c r="E1" s="43" t="s">
        <v>28</v>
      </c>
      <c r="F1" s="20" t="s">
        <v>23</v>
      </c>
    </row>
    <row r="2" spans="1:6">
      <c r="A2" s="47" t="s">
        <v>36</v>
      </c>
      <c r="B2" s="2" t="s">
        <v>41</v>
      </c>
      <c r="C2" s="2">
        <v>322</v>
      </c>
      <c r="D2" s="28">
        <v>307</v>
      </c>
      <c r="E2" s="45">
        <f t="shared" ref="E2:E26" si="0">ROUNDUP(D2/C2,3)</f>
        <v>0.95399999999999996</v>
      </c>
      <c r="F2" s="40">
        <f>ROUNDUP(VLOOKUP(RIGHT(B2,1),テーブル!$A$3:$C$5,3,0)*D2*E2,0)</f>
        <v>19213</v>
      </c>
    </row>
    <row r="3" spans="1:6">
      <c r="A3" s="47" t="s">
        <v>36</v>
      </c>
      <c r="B3" s="2" t="s">
        <v>43</v>
      </c>
      <c r="C3" s="2">
        <v>336</v>
      </c>
      <c r="D3" s="28">
        <v>312</v>
      </c>
      <c r="E3" s="45">
        <f t="shared" si="0"/>
        <v>0.92900000000000005</v>
      </c>
      <c r="F3" s="40">
        <f>ROUNDUP(VLOOKUP(RIGHT(B3,1),テーブル!$A$3:$C$5,3,0)*D3*E3,0)</f>
        <v>18754</v>
      </c>
    </row>
    <row r="4" spans="1:6">
      <c r="A4" s="47" t="s">
        <v>36</v>
      </c>
      <c r="B4" s="2" t="s">
        <v>45</v>
      </c>
      <c r="C4" s="2">
        <v>330</v>
      </c>
      <c r="D4" s="28">
        <v>315</v>
      </c>
      <c r="E4" s="45">
        <f t="shared" si="0"/>
        <v>0.95499999999999996</v>
      </c>
      <c r="F4" s="40">
        <f>ROUNDUP(VLOOKUP(RIGHT(B4,1),テーブル!$A$3:$C$5,3,0)*D4*E4,0)</f>
        <v>19735</v>
      </c>
    </row>
    <row r="5" spans="1:6">
      <c r="A5" s="47" t="s">
        <v>36</v>
      </c>
      <c r="B5" s="2" t="s">
        <v>47</v>
      </c>
      <c r="C5" s="2">
        <v>393</v>
      </c>
      <c r="D5" s="28">
        <v>372</v>
      </c>
      <c r="E5" s="45">
        <f t="shared" si="0"/>
        <v>0.94699999999999995</v>
      </c>
      <c r="F5" s="40">
        <f>ROUNDUP(VLOOKUP(RIGHT(B5,1),テーブル!$A$3:$C$5,3,0)*D5*E5,0)</f>
        <v>23533</v>
      </c>
    </row>
    <row r="6" spans="1:6">
      <c r="A6" s="47" t="s">
        <v>36</v>
      </c>
      <c r="B6" s="2" t="s">
        <v>49</v>
      </c>
      <c r="C6" s="2">
        <v>478</v>
      </c>
      <c r="D6" s="28">
        <v>453</v>
      </c>
      <c r="E6" s="45">
        <f t="shared" si="0"/>
        <v>0.94799999999999995</v>
      </c>
      <c r="F6" s="40">
        <f>ROUNDUP(VLOOKUP(RIGHT(B6,1),テーブル!$A$3:$C$5,3,0)*D6*E6,0)</f>
        <v>27786</v>
      </c>
    </row>
    <row r="7" spans="1:6">
      <c r="A7" s="47" t="s">
        <v>37</v>
      </c>
      <c r="B7" s="2" t="s">
        <v>41</v>
      </c>
      <c r="C7" s="2">
        <v>389</v>
      </c>
      <c r="D7" s="28">
        <v>374</v>
      </c>
      <c r="E7" s="45">
        <f t="shared" si="0"/>
        <v>0.96199999999999997</v>
      </c>
      <c r="F7" s="40">
        <f>ROUNDUP(VLOOKUP(RIGHT(B7,1),テーブル!$A$3:$C$5,3,0)*D7*E7,0)</f>
        <v>23603</v>
      </c>
    </row>
    <row r="8" spans="1:6">
      <c r="A8" s="47" t="s">
        <v>37</v>
      </c>
      <c r="B8" s="2" t="s">
        <v>43</v>
      </c>
      <c r="C8" s="2">
        <v>452</v>
      </c>
      <c r="D8" s="28">
        <v>437</v>
      </c>
      <c r="E8" s="45">
        <f t="shared" si="0"/>
        <v>0.96699999999999997</v>
      </c>
      <c r="F8" s="40">
        <f>ROUNDUP(VLOOKUP(RIGHT(B8,1),テーブル!$A$3:$C$5,3,0)*D8*E8,0)</f>
        <v>27341</v>
      </c>
    </row>
    <row r="9" spans="1:6">
      <c r="A9" s="47" t="s">
        <v>37</v>
      </c>
      <c r="B9" s="2" t="s">
        <v>45</v>
      </c>
      <c r="C9" s="2">
        <v>379</v>
      </c>
      <c r="D9" s="28">
        <v>360</v>
      </c>
      <c r="E9" s="45">
        <f t="shared" si="0"/>
        <v>0.95</v>
      </c>
      <c r="F9" s="40">
        <f>ROUNDUP(VLOOKUP(RIGHT(B9,1),テーブル!$A$3:$C$5,3,0)*D9*E9,0)</f>
        <v>22436</v>
      </c>
    </row>
    <row r="10" spans="1:6">
      <c r="A10" s="47" t="s">
        <v>37</v>
      </c>
      <c r="B10" s="2" t="s">
        <v>47</v>
      </c>
      <c r="C10" s="2">
        <v>456</v>
      </c>
      <c r="D10" s="28">
        <v>439</v>
      </c>
      <c r="E10" s="45">
        <f t="shared" si="0"/>
        <v>0.96299999999999997</v>
      </c>
      <c r="F10" s="40">
        <f>ROUNDUP(VLOOKUP(RIGHT(B10,1),テーブル!$A$3:$C$5,3,0)*D10*E10,0)</f>
        <v>28241</v>
      </c>
    </row>
    <row r="11" spans="1:6">
      <c r="A11" s="47" t="s">
        <v>37</v>
      </c>
      <c r="B11" s="2" t="s">
        <v>49</v>
      </c>
      <c r="C11" s="2">
        <v>378</v>
      </c>
      <c r="D11" s="28">
        <v>352</v>
      </c>
      <c r="E11" s="45">
        <f t="shared" si="0"/>
        <v>0.93200000000000005</v>
      </c>
      <c r="F11" s="40">
        <f>ROUNDUP(VLOOKUP(RIGHT(B11,1),テーブル!$A$3:$C$5,3,0)*D11*E11,0)</f>
        <v>21226</v>
      </c>
    </row>
    <row r="12" spans="1:6">
      <c r="A12" s="47" t="s">
        <v>38</v>
      </c>
      <c r="B12" s="2" t="s">
        <v>41</v>
      </c>
      <c r="C12" s="2">
        <v>444</v>
      </c>
      <c r="D12" s="28">
        <v>423</v>
      </c>
      <c r="E12" s="45">
        <f t="shared" si="0"/>
        <v>0.95299999999999996</v>
      </c>
      <c r="F12" s="40">
        <f>ROUNDUP(VLOOKUP(RIGHT(B12,1),テーブル!$A$3:$C$5,3,0)*D12*E12,0)</f>
        <v>26445</v>
      </c>
    </row>
    <row r="13" spans="1:6">
      <c r="A13" s="47" t="s">
        <v>38</v>
      </c>
      <c r="B13" s="2" t="s">
        <v>43</v>
      </c>
      <c r="C13" s="2">
        <v>393</v>
      </c>
      <c r="D13" s="28">
        <v>369</v>
      </c>
      <c r="E13" s="45">
        <f t="shared" si="0"/>
        <v>0.93899999999999995</v>
      </c>
      <c r="F13" s="40">
        <f>ROUNDUP(VLOOKUP(RIGHT(B13,1),テーブル!$A$3:$C$5,3,0)*D13*E13,0)</f>
        <v>22418</v>
      </c>
    </row>
    <row r="14" spans="1:6">
      <c r="A14" s="47" t="s">
        <v>38</v>
      </c>
      <c r="B14" s="2" t="s">
        <v>45</v>
      </c>
      <c r="C14" s="2">
        <v>440</v>
      </c>
      <c r="D14" s="28">
        <v>425</v>
      </c>
      <c r="E14" s="45">
        <f t="shared" si="0"/>
        <v>0.96599999999999997</v>
      </c>
      <c r="F14" s="40">
        <f>ROUNDUP(VLOOKUP(RIGHT(B14,1),テーブル!$A$3:$C$5,3,0)*D14*E14,0)</f>
        <v>26933</v>
      </c>
    </row>
    <row r="15" spans="1:6">
      <c r="A15" s="47" t="s">
        <v>38</v>
      </c>
      <c r="B15" s="2" t="s">
        <v>47</v>
      </c>
      <c r="C15" s="2">
        <v>370</v>
      </c>
      <c r="D15" s="28">
        <v>348</v>
      </c>
      <c r="E15" s="45">
        <f t="shared" si="0"/>
        <v>0.94099999999999995</v>
      </c>
      <c r="F15" s="40">
        <f>ROUNDUP(VLOOKUP(RIGHT(B15,1),テーブル!$A$3:$C$5,3,0)*D15*E15,0)</f>
        <v>21875</v>
      </c>
    </row>
    <row r="16" spans="1:6">
      <c r="A16" s="47" t="s">
        <v>38</v>
      </c>
      <c r="B16" s="2" t="s">
        <v>49</v>
      </c>
      <c r="C16" s="2">
        <v>312</v>
      </c>
      <c r="D16" s="28">
        <v>291</v>
      </c>
      <c r="E16" s="45">
        <f t="shared" si="0"/>
        <v>0.93300000000000005</v>
      </c>
      <c r="F16" s="40">
        <f>ROUNDUP(VLOOKUP(RIGHT(B16,1),テーブル!$A$3:$C$5,3,0)*D16*E16,0)</f>
        <v>17567</v>
      </c>
    </row>
    <row r="17" spans="1:7">
      <c r="A17" s="47" t="s">
        <v>39</v>
      </c>
      <c r="B17" s="2" t="s">
        <v>41</v>
      </c>
      <c r="C17" s="2">
        <v>393</v>
      </c>
      <c r="D17" s="28">
        <v>376</v>
      </c>
      <c r="E17" s="45">
        <f t="shared" si="0"/>
        <v>0.95699999999999996</v>
      </c>
      <c r="F17" s="40">
        <f>ROUNDUP(VLOOKUP(RIGHT(B17,1),テーブル!$A$3:$C$5,3,0)*D17*E17,0)</f>
        <v>23605</v>
      </c>
    </row>
    <row r="18" spans="1:7">
      <c r="A18" s="47" t="s">
        <v>39</v>
      </c>
      <c r="B18" s="2" t="s">
        <v>43</v>
      </c>
      <c r="C18" s="2">
        <v>365</v>
      </c>
      <c r="D18" s="28">
        <v>352</v>
      </c>
      <c r="E18" s="45">
        <f t="shared" si="0"/>
        <v>0.96499999999999997</v>
      </c>
      <c r="F18" s="40">
        <f>ROUNDUP(VLOOKUP(RIGHT(B18,1),テーブル!$A$3:$C$5,3,0)*D18*E18,0)</f>
        <v>21978</v>
      </c>
    </row>
    <row r="19" spans="1:7">
      <c r="A19" s="47" t="s">
        <v>39</v>
      </c>
      <c r="B19" s="2" t="s">
        <v>45</v>
      </c>
      <c r="C19" s="2">
        <v>326</v>
      </c>
      <c r="D19" s="28">
        <v>307</v>
      </c>
      <c r="E19" s="45">
        <f t="shared" si="0"/>
        <v>0.94199999999999995</v>
      </c>
      <c r="F19" s="40">
        <f>ROUNDUP(VLOOKUP(RIGHT(B19,1),テーブル!$A$3:$C$5,3,0)*D19*E19,0)</f>
        <v>18972</v>
      </c>
    </row>
    <row r="20" spans="1:7">
      <c r="A20" s="47" t="s">
        <v>39</v>
      </c>
      <c r="B20" s="2" t="s">
        <v>47</v>
      </c>
      <c r="C20" s="2">
        <v>392</v>
      </c>
      <c r="D20" s="28">
        <v>376</v>
      </c>
      <c r="E20" s="45">
        <f t="shared" si="0"/>
        <v>0.96</v>
      </c>
      <c r="F20" s="40">
        <f>ROUNDUP(VLOOKUP(RIGHT(B20,1),テーブル!$A$3:$C$5,3,0)*D20*E20,0)</f>
        <v>24113</v>
      </c>
    </row>
    <row r="21" spans="1:7">
      <c r="A21" s="47" t="s">
        <v>39</v>
      </c>
      <c r="B21" s="2" t="s">
        <v>49</v>
      </c>
      <c r="C21" s="2">
        <v>386</v>
      </c>
      <c r="D21" s="28">
        <v>365</v>
      </c>
      <c r="E21" s="45">
        <f t="shared" si="0"/>
        <v>0.94599999999999995</v>
      </c>
      <c r="F21" s="40">
        <f>ROUNDUP(VLOOKUP(RIGHT(B21,1),テーブル!$A$3:$C$5,3,0)*D21*E21,0)</f>
        <v>22341</v>
      </c>
    </row>
    <row r="22" spans="1:7">
      <c r="A22" s="47" t="s">
        <v>40</v>
      </c>
      <c r="B22" s="2" t="s">
        <v>41</v>
      </c>
      <c r="C22" s="2">
        <v>312</v>
      </c>
      <c r="D22" s="2">
        <v>298</v>
      </c>
      <c r="E22" s="45">
        <f t="shared" si="0"/>
        <v>0.95599999999999996</v>
      </c>
      <c r="F22" s="40">
        <f>ROUNDUP(VLOOKUP(RIGHT(B22,1),テーブル!$A$3:$C$5,3,0)*D22*E22,0)</f>
        <v>18689</v>
      </c>
    </row>
    <row r="23" spans="1:7">
      <c r="A23" s="47" t="s">
        <v>40</v>
      </c>
      <c r="B23" s="2" t="s">
        <v>43</v>
      </c>
      <c r="C23" s="2">
        <v>298</v>
      </c>
      <c r="D23" s="2">
        <v>280</v>
      </c>
      <c r="E23" s="45">
        <f t="shared" si="0"/>
        <v>0.94</v>
      </c>
      <c r="F23" s="40">
        <f>ROUNDUP(VLOOKUP(RIGHT(B23,1),テーブル!$A$3:$C$5,3,0)*D23*E23,0)</f>
        <v>17030</v>
      </c>
    </row>
    <row r="24" spans="1:7">
      <c r="A24" s="47" t="s">
        <v>40</v>
      </c>
      <c r="B24" s="2" t="s">
        <v>45</v>
      </c>
      <c r="C24" s="2">
        <v>287</v>
      </c>
      <c r="D24" s="2">
        <v>267</v>
      </c>
      <c r="E24" s="45">
        <f t="shared" si="0"/>
        <v>0.93100000000000005</v>
      </c>
      <c r="F24" s="40">
        <f>ROUNDUP(VLOOKUP(RIGHT(B24,1),テーブル!$A$3:$C$5,3,0)*D24*E24,0)</f>
        <v>16307</v>
      </c>
    </row>
    <row r="25" spans="1:7">
      <c r="A25" s="47" t="s">
        <v>40</v>
      </c>
      <c r="B25" s="2" t="s">
        <v>47</v>
      </c>
      <c r="C25" s="2">
        <v>267</v>
      </c>
      <c r="D25" s="2">
        <v>258</v>
      </c>
      <c r="E25" s="45">
        <f t="shared" si="0"/>
        <v>0.96699999999999997</v>
      </c>
      <c r="F25" s="40">
        <f>ROUNDUP(VLOOKUP(RIGHT(B25,1),テーブル!$A$3:$C$5,3,0)*D25*E25,0)</f>
        <v>16666</v>
      </c>
    </row>
    <row r="26" spans="1:7" ht="14.25" thickBot="1">
      <c r="A26" s="48" t="s">
        <v>40</v>
      </c>
      <c r="B26" s="29" t="s">
        <v>49</v>
      </c>
      <c r="C26" s="29">
        <v>320</v>
      </c>
      <c r="D26" s="29">
        <v>305</v>
      </c>
      <c r="E26" s="46">
        <f t="shared" si="0"/>
        <v>0.95399999999999996</v>
      </c>
      <c r="F26" s="41">
        <f>ROUNDUP(VLOOKUP(RIGHT(B26,1),テーブル!$A$3:$C$5,3,0)*D26*E26,0)</f>
        <v>18826</v>
      </c>
    </row>
    <row r="27" spans="1:7">
      <c r="C27" s="18"/>
      <c r="D27" s="18"/>
      <c r="E27" s="18"/>
      <c r="F27" s="18"/>
    </row>
    <row r="28" spans="1:7">
      <c r="D28" s="18"/>
      <c r="G28" s="18"/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86590-270F-4BBD-B1C6-AD2D48BBC76B}">
  <dimension ref="A1:F33"/>
  <sheetViews>
    <sheetView workbookViewId="0"/>
  </sheetViews>
  <sheetFormatPr defaultRowHeight="13.5"/>
  <cols>
    <col min="1" max="1" width="9.5" bestFit="1" customWidth="1"/>
    <col min="2" max="3" width="7.5" bestFit="1" customWidth="1"/>
    <col min="4" max="4" width="7.5" customWidth="1"/>
    <col min="5" max="5" width="7.5" bestFit="1" customWidth="1"/>
    <col min="6" max="6" width="9.5" bestFit="1" customWidth="1"/>
  </cols>
  <sheetData>
    <row r="1" spans="1:6">
      <c r="A1" s="21" t="s">
        <v>24</v>
      </c>
      <c r="B1" s="31" t="s">
        <v>8</v>
      </c>
      <c r="C1" s="31" t="s">
        <v>30</v>
      </c>
      <c r="D1" s="31" t="s">
        <v>65</v>
      </c>
      <c r="E1" s="31" t="s">
        <v>21</v>
      </c>
      <c r="F1" s="20" t="s">
        <v>32</v>
      </c>
    </row>
    <row r="2" spans="1:6">
      <c r="A2" s="36">
        <v>1</v>
      </c>
      <c r="B2" s="2">
        <v>11</v>
      </c>
      <c r="C2" s="2">
        <v>1001</v>
      </c>
      <c r="D2" s="2" t="str">
        <f>VLOOKUP(C2,テーブル!$E$3:$G$4,2,0)</f>
        <v>製品Ｘ</v>
      </c>
      <c r="E2" s="17">
        <v>547</v>
      </c>
      <c r="F2" s="6">
        <f>ROUNDDOWN(VLOOKUP(C2,テーブル!$E$3:$G$4,3,0)*(1+VLOOKUP(E2,テーブル!$I$3:$J$5,2,1)),0)</f>
        <v>317</v>
      </c>
    </row>
    <row r="3" spans="1:6">
      <c r="A3" s="36">
        <v>2</v>
      </c>
      <c r="B3" s="2">
        <v>13</v>
      </c>
      <c r="C3" s="28">
        <v>1001</v>
      </c>
      <c r="D3" s="2" t="str">
        <f>VLOOKUP(C3,テーブル!$E$3:$G$4,2,0)</f>
        <v>製品Ｘ</v>
      </c>
      <c r="E3" s="17">
        <v>486</v>
      </c>
      <c r="F3" s="6">
        <f>ROUNDDOWN(VLOOKUP(C3,テーブル!$E$3:$G$4,3,0)*(1+VLOOKUP(E3,テーブル!$I$3:$J$5,2,1)),0)</f>
        <v>317</v>
      </c>
    </row>
    <row r="4" spans="1:6">
      <c r="A4" s="36">
        <v>3</v>
      </c>
      <c r="B4" s="2">
        <v>14</v>
      </c>
      <c r="C4" s="28">
        <v>1001</v>
      </c>
      <c r="D4" s="2" t="str">
        <f>VLOOKUP(C4,テーブル!$E$3:$G$4,2,0)</f>
        <v>製品Ｘ</v>
      </c>
      <c r="E4" s="17">
        <v>735</v>
      </c>
      <c r="F4" s="6">
        <f>ROUNDDOWN(VLOOKUP(C4,テーブル!$E$3:$G$4,3,0)*(1+VLOOKUP(E4,テーブル!$I$3:$J$5,2,1)),0)</f>
        <v>314</v>
      </c>
    </row>
    <row r="5" spans="1:6">
      <c r="A5" s="36">
        <v>4</v>
      </c>
      <c r="B5" s="2">
        <v>15</v>
      </c>
      <c r="C5" s="2">
        <v>1001</v>
      </c>
      <c r="D5" s="2" t="str">
        <f>VLOOKUP(C5,テーブル!$E$3:$G$4,2,0)</f>
        <v>製品Ｘ</v>
      </c>
      <c r="E5" s="17">
        <v>713</v>
      </c>
      <c r="F5" s="6">
        <f>ROUNDDOWN(VLOOKUP(C5,テーブル!$E$3:$G$4,3,0)*(1+VLOOKUP(E5,テーブル!$I$3:$J$5,2,1)),0)</f>
        <v>314</v>
      </c>
    </row>
    <row r="6" spans="1:6">
      <c r="A6" s="36">
        <v>5</v>
      </c>
      <c r="B6" s="2">
        <v>12</v>
      </c>
      <c r="C6" s="2">
        <v>1001</v>
      </c>
      <c r="D6" s="2" t="str">
        <f>VLOOKUP(C6,テーブル!$E$3:$G$4,2,0)</f>
        <v>製品Ｘ</v>
      </c>
      <c r="E6" s="17">
        <v>635</v>
      </c>
      <c r="F6" s="6">
        <f>ROUNDDOWN(VLOOKUP(C6,テーブル!$E$3:$G$4,3,0)*(1+VLOOKUP(E6,テーブル!$I$3:$J$5,2,1)),0)</f>
        <v>317</v>
      </c>
    </row>
    <row r="7" spans="1:6">
      <c r="A7" s="36">
        <v>6</v>
      </c>
      <c r="B7" s="2">
        <v>13</v>
      </c>
      <c r="C7" s="28">
        <v>1001</v>
      </c>
      <c r="D7" s="2" t="str">
        <f>VLOOKUP(C7,テーブル!$E$3:$G$4,2,0)</f>
        <v>製品Ｘ</v>
      </c>
      <c r="E7" s="17">
        <v>783</v>
      </c>
      <c r="F7" s="6">
        <f>ROUNDDOWN(VLOOKUP(C7,テーブル!$E$3:$G$4,3,0)*(1+VLOOKUP(E7,テーブル!$I$3:$J$5,2,1)),0)</f>
        <v>312</v>
      </c>
    </row>
    <row r="8" spans="1:6">
      <c r="A8" s="36">
        <v>7</v>
      </c>
      <c r="B8" s="2">
        <v>14</v>
      </c>
      <c r="C8" s="28">
        <v>1001</v>
      </c>
      <c r="D8" s="2" t="str">
        <f>VLOOKUP(C8,テーブル!$E$3:$G$4,2,0)</f>
        <v>製品Ｘ</v>
      </c>
      <c r="E8" s="17">
        <v>569</v>
      </c>
      <c r="F8" s="6">
        <f>ROUNDDOWN(VLOOKUP(C8,テーブル!$E$3:$G$4,3,0)*(1+VLOOKUP(E8,テーブル!$I$3:$J$5,2,1)),0)</f>
        <v>317</v>
      </c>
    </row>
    <row r="9" spans="1:6">
      <c r="A9" s="36">
        <v>8</v>
      </c>
      <c r="B9" s="2">
        <v>15</v>
      </c>
      <c r="C9" s="2">
        <v>1001</v>
      </c>
      <c r="D9" s="2" t="str">
        <f>VLOOKUP(C9,テーブル!$E$3:$G$4,2,0)</f>
        <v>製品Ｘ</v>
      </c>
      <c r="E9" s="17">
        <v>840</v>
      </c>
      <c r="F9" s="6">
        <f>ROUNDDOWN(VLOOKUP(C9,テーブル!$E$3:$G$4,3,0)*(1+VLOOKUP(E9,テーブル!$I$3:$J$5,2,1)),0)</f>
        <v>312</v>
      </c>
    </row>
    <row r="10" spans="1:6">
      <c r="A10" s="36">
        <v>9</v>
      </c>
      <c r="B10" s="2">
        <v>12</v>
      </c>
      <c r="C10" s="2">
        <v>1001</v>
      </c>
      <c r="D10" s="2" t="str">
        <f>VLOOKUP(C10,テーブル!$E$3:$G$4,2,0)</f>
        <v>製品Ｘ</v>
      </c>
      <c r="E10" s="17">
        <v>852</v>
      </c>
      <c r="F10" s="6">
        <f>ROUNDDOWN(VLOOKUP(C10,テーブル!$E$3:$G$4,3,0)*(1+VLOOKUP(E10,テーブル!$I$3:$J$5,2,1)),0)</f>
        <v>312</v>
      </c>
    </row>
    <row r="11" spans="1:6">
      <c r="A11" s="36">
        <v>10</v>
      </c>
      <c r="B11" s="2">
        <v>14</v>
      </c>
      <c r="C11" s="28">
        <v>1001</v>
      </c>
      <c r="D11" s="2" t="str">
        <f>VLOOKUP(C11,テーブル!$E$3:$G$4,2,0)</f>
        <v>製品Ｘ</v>
      </c>
      <c r="E11" s="17">
        <v>537</v>
      </c>
      <c r="F11" s="6">
        <f>ROUNDDOWN(VLOOKUP(C11,テーブル!$E$3:$G$4,3,0)*(1+VLOOKUP(E11,テーブル!$I$3:$J$5,2,1)),0)</f>
        <v>317</v>
      </c>
    </row>
    <row r="12" spans="1:6">
      <c r="A12" s="36">
        <v>11</v>
      </c>
      <c r="B12" s="2">
        <v>14</v>
      </c>
      <c r="C12" s="28">
        <v>1001</v>
      </c>
      <c r="D12" s="2" t="str">
        <f>VLOOKUP(C12,テーブル!$E$3:$G$4,2,0)</f>
        <v>製品Ｘ</v>
      </c>
      <c r="E12" s="17">
        <v>668</v>
      </c>
      <c r="F12" s="6">
        <f>ROUNDDOWN(VLOOKUP(C12,テーブル!$E$3:$G$4,3,0)*(1+VLOOKUP(E12,テーブル!$I$3:$J$5,2,1)),0)</f>
        <v>314</v>
      </c>
    </row>
    <row r="13" spans="1:6">
      <c r="A13" s="36">
        <v>12</v>
      </c>
      <c r="B13" s="2">
        <v>15</v>
      </c>
      <c r="C13" s="2">
        <v>1001</v>
      </c>
      <c r="D13" s="2" t="str">
        <f>VLOOKUP(C13,テーブル!$E$3:$G$4,2,0)</f>
        <v>製品Ｘ</v>
      </c>
      <c r="E13" s="17">
        <v>646</v>
      </c>
      <c r="F13" s="6">
        <f>ROUNDDOWN(VLOOKUP(C13,テーブル!$E$3:$G$4,3,0)*(1+VLOOKUP(E13,テーブル!$I$3:$J$5,2,1)),0)</f>
        <v>317</v>
      </c>
    </row>
    <row r="14" spans="1:6">
      <c r="A14" s="36">
        <v>13</v>
      </c>
      <c r="B14" s="2">
        <v>11</v>
      </c>
      <c r="C14" s="28">
        <v>1002</v>
      </c>
      <c r="D14" s="2" t="str">
        <f>VLOOKUP(C14,テーブル!$E$3:$G$4,2,0)</f>
        <v>製品Ｙ</v>
      </c>
      <c r="E14" s="3">
        <v>809</v>
      </c>
      <c r="F14" s="6">
        <f>ROUNDDOWN(VLOOKUP(C14,テーブル!$E$3:$G$4,3,0)*(1+VLOOKUP(E14,テーブル!$I$3:$J$5,2,1)),0)</f>
        <v>245</v>
      </c>
    </row>
    <row r="15" spans="1:6">
      <c r="A15" s="36">
        <v>14</v>
      </c>
      <c r="B15" s="2">
        <v>12</v>
      </c>
      <c r="C15" s="2">
        <v>1002</v>
      </c>
      <c r="D15" s="2" t="str">
        <f>VLOOKUP(C15,テーブル!$E$3:$G$4,2,0)</f>
        <v>製品Ｙ</v>
      </c>
      <c r="E15" s="3">
        <v>843</v>
      </c>
      <c r="F15" s="6">
        <f>ROUNDDOWN(VLOOKUP(C15,テーブル!$E$3:$G$4,3,0)*(1+VLOOKUP(E15,テーブル!$I$3:$J$5,2,1)),0)</f>
        <v>245</v>
      </c>
    </row>
    <row r="16" spans="1:6">
      <c r="A16" s="36">
        <v>15</v>
      </c>
      <c r="B16" s="2">
        <v>13</v>
      </c>
      <c r="C16" s="28">
        <v>1002</v>
      </c>
      <c r="D16" s="2" t="str">
        <f>VLOOKUP(C16,テーブル!$E$3:$G$4,2,0)</f>
        <v>製品Ｙ</v>
      </c>
      <c r="E16" s="3">
        <v>733</v>
      </c>
      <c r="F16" s="6">
        <f>ROUNDDOWN(VLOOKUP(C16,テーブル!$E$3:$G$4,3,0)*(1+VLOOKUP(E16,テーブル!$I$3:$J$5,2,1)),0)</f>
        <v>247</v>
      </c>
    </row>
    <row r="17" spans="1:6">
      <c r="A17" s="36">
        <v>16</v>
      </c>
      <c r="B17" s="2">
        <v>15</v>
      </c>
      <c r="C17" s="2">
        <v>1002</v>
      </c>
      <c r="D17" s="2" t="str">
        <f>VLOOKUP(C17,テーブル!$E$3:$G$4,2,0)</f>
        <v>製品Ｙ</v>
      </c>
      <c r="E17" s="3">
        <v>710</v>
      </c>
      <c r="F17" s="6">
        <f>ROUNDDOWN(VLOOKUP(C17,テーブル!$E$3:$G$4,3,0)*(1+VLOOKUP(E17,テーブル!$I$3:$J$5,2,1)),0)</f>
        <v>247</v>
      </c>
    </row>
    <row r="18" spans="1:6">
      <c r="A18" s="36">
        <v>17</v>
      </c>
      <c r="B18" s="2">
        <v>11</v>
      </c>
      <c r="C18" s="28">
        <v>1002</v>
      </c>
      <c r="D18" s="2" t="str">
        <f>VLOOKUP(C18,テーブル!$E$3:$G$4,2,0)</f>
        <v>製品Ｙ</v>
      </c>
      <c r="E18" s="3">
        <v>827</v>
      </c>
      <c r="F18" s="6">
        <f>ROUNDDOWN(VLOOKUP(C18,テーブル!$E$3:$G$4,3,0)*(1+VLOOKUP(E18,テーブル!$I$3:$J$5,2,1)),0)</f>
        <v>245</v>
      </c>
    </row>
    <row r="19" spans="1:6">
      <c r="A19" s="36">
        <v>18</v>
      </c>
      <c r="B19" s="2">
        <v>12</v>
      </c>
      <c r="C19" s="2">
        <v>1002</v>
      </c>
      <c r="D19" s="2" t="str">
        <f>VLOOKUP(C19,テーブル!$E$3:$G$4,2,0)</f>
        <v>製品Ｙ</v>
      </c>
      <c r="E19" s="3">
        <v>790</v>
      </c>
      <c r="F19" s="6">
        <f>ROUNDDOWN(VLOOKUP(C19,テーブル!$E$3:$G$4,3,0)*(1+VLOOKUP(E19,テーブル!$I$3:$J$5,2,1)),0)</f>
        <v>245</v>
      </c>
    </row>
    <row r="20" spans="1:6">
      <c r="A20" s="36">
        <v>19</v>
      </c>
      <c r="B20" s="2">
        <v>13</v>
      </c>
      <c r="C20" s="28">
        <v>1002</v>
      </c>
      <c r="D20" s="2" t="str">
        <f>VLOOKUP(C20,テーブル!$E$3:$G$4,2,0)</f>
        <v>製品Ｙ</v>
      </c>
      <c r="E20" s="3">
        <v>642</v>
      </c>
      <c r="F20" s="6">
        <f>ROUNDDOWN(VLOOKUP(C20,テーブル!$E$3:$G$4,3,0)*(1+VLOOKUP(E20,テーブル!$I$3:$J$5,2,1)),0)</f>
        <v>248</v>
      </c>
    </row>
    <row r="21" spans="1:6">
      <c r="A21" s="36">
        <v>20</v>
      </c>
      <c r="B21" s="2">
        <v>14</v>
      </c>
      <c r="C21" s="2">
        <v>1002</v>
      </c>
      <c r="D21" s="2" t="str">
        <f>VLOOKUP(C21,テーブル!$E$3:$G$4,2,0)</f>
        <v>製品Ｙ</v>
      </c>
      <c r="E21" s="3">
        <v>529</v>
      </c>
      <c r="F21" s="6">
        <f>ROUNDDOWN(VLOOKUP(C21,テーブル!$E$3:$G$4,3,0)*(1+VLOOKUP(E21,テーブル!$I$3:$J$5,2,1)),0)</f>
        <v>248</v>
      </c>
    </row>
    <row r="22" spans="1:6">
      <c r="A22" s="36">
        <v>21</v>
      </c>
      <c r="B22" s="2">
        <v>11</v>
      </c>
      <c r="C22" s="28">
        <v>1002</v>
      </c>
      <c r="D22" s="2" t="str">
        <f>VLOOKUP(C22,テーブル!$E$3:$G$4,2,0)</f>
        <v>製品Ｙ</v>
      </c>
      <c r="E22" s="3">
        <v>830</v>
      </c>
      <c r="F22" s="6">
        <f>ROUNDDOWN(VLOOKUP(C22,テーブル!$E$3:$G$4,3,0)*(1+VLOOKUP(E22,テーブル!$I$3:$J$5,2,1)),0)</f>
        <v>245</v>
      </c>
    </row>
    <row r="23" spans="1:6">
      <c r="A23" s="36">
        <v>22</v>
      </c>
      <c r="B23" s="2">
        <v>12</v>
      </c>
      <c r="C23" s="2">
        <v>1002</v>
      </c>
      <c r="D23" s="2" t="str">
        <f>VLOOKUP(C23,テーブル!$E$3:$G$4,2,0)</f>
        <v>製品Ｙ</v>
      </c>
      <c r="E23" s="3">
        <v>653</v>
      </c>
      <c r="F23" s="6">
        <f>ROUNDDOWN(VLOOKUP(C23,テーブル!$E$3:$G$4,3,0)*(1+VLOOKUP(E23,テーブル!$I$3:$J$5,2,1)),0)</f>
        <v>247</v>
      </c>
    </row>
    <row r="24" spans="1:6">
      <c r="A24" s="36">
        <v>23</v>
      </c>
      <c r="B24" s="2">
        <v>13</v>
      </c>
      <c r="C24" s="28">
        <v>1002</v>
      </c>
      <c r="D24" s="2" t="str">
        <f>VLOOKUP(C24,テーブル!$E$3:$G$4,2,0)</f>
        <v>製品Ｙ</v>
      </c>
      <c r="E24" s="17">
        <v>710</v>
      </c>
      <c r="F24" s="6">
        <f>ROUNDDOWN(VLOOKUP(C24,テーブル!$E$3:$G$4,3,0)*(1+VLOOKUP(E24,テーブル!$I$3:$J$5,2,1)),0)</f>
        <v>247</v>
      </c>
    </row>
    <row r="25" spans="1:6" ht="14.25" thickBot="1">
      <c r="A25" s="37">
        <v>24</v>
      </c>
      <c r="B25" s="29">
        <v>15</v>
      </c>
      <c r="C25" s="29">
        <v>1002</v>
      </c>
      <c r="D25" s="29" t="str">
        <f>VLOOKUP(C25,テーブル!$E$3:$G$4,2,0)</f>
        <v>製品Ｙ</v>
      </c>
      <c r="E25" s="35">
        <v>685</v>
      </c>
      <c r="F25" s="30">
        <f>ROUNDDOWN(VLOOKUP(C25,テーブル!$E$3:$G$4,3,0)*(1+VLOOKUP(E25,テーブル!$I$3:$J$5,2,1)),0)</f>
        <v>247</v>
      </c>
    </row>
    <row r="26" spans="1:6">
      <c r="E26" s="18"/>
      <c r="F26" s="18"/>
    </row>
    <row r="27" spans="1:6">
      <c r="E27" s="18"/>
      <c r="F27" s="18"/>
    </row>
    <row r="28" spans="1:6">
      <c r="E28" s="18"/>
      <c r="F28" s="18"/>
    </row>
    <row r="32" spans="1:6">
      <c r="D32" s="44"/>
    </row>
    <row r="33" spans="4:4">
      <c r="D33" s="44"/>
    </row>
  </sheetData>
  <sortState xmlns:xlrd2="http://schemas.microsoft.com/office/spreadsheetml/2017/richdata2" ref="A2:F25">
    <sortCondition ref="A2:A25"/>
  </sortState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9"/>
  <sheetViews>
    <sheetView zoomScaleNormal="100" workbookViewId="0">
      <selection sqref="A1:H1"/>
    </sheetView>
  </sheetViews>
  <sheetFormatPr defaultRowHeight="13.5"/>
  <cols>
    <col min="1" max="1" width="7.5" bestFit="1" customWidth="1"/>
    <col min="2" max="2" width="11.625" bestFit="1" customWidth="1"/>
    <col min="3" max="4" width="8.5" bestFit="1" customWidth="1"/>
    <col min="5" max="5" width="9.5" bestFit="1" customWidth="1"/>
    <col min="6" max="6" width="7.5" bestFit="1" customWidth="1"/>
    <col min="7" max="7" width="10.5" bestFit="1" customWidth="1"/>
    <col min="8" max="8" width="7.5" bestFit="1" customWidth="1"/>
    <col min="9" max="9" width="9" customWidth="1"/>
    <col min="10" max="10" width="7.5" bestFit="1" customWidth="1"/>
    <col min="11" max="11" width="9.5" bestFit="1" customWidth="1"/>
    <col min="12" max="12" width="7.5" bestFit="1" customWidth="1"/>
    <col min="13" max="13" width="10.5" bestFit="1" customWidth="1"/>
    <col min="14" max="14" width="8.5" bestFit="1" customWidth="1"/>
    <col min="15" max="15" width="10.5" bestFit="1" customWidth="1"/>
  </cols>
  <sheetData>
    <row r="1" spans="1:15" ht="14.25" thickBot="1">
      <c r="A1" s="58" t="s">
        <v>6</v>
      </c>
      <c r="B1" s="58"/>
      <c r="C1" s="58"/>
      <c r="D1" s="58"/>
      <c r="E1" s="58"/>
      <c r="F1" s="58"/>
      <c r="G1" s="58"/>
      <c r="H1" s="58"/>
      <c r="I1" s="19"/>
      <c r="J1" s="57" t="s">
        <v>5</v>
      </c>
      <c r="K1" s="57"/>
      <c r="L1" s="57"/>
      <c r="M1" s="57"/>
      <c r="N1" s="57"/>
      <c r="O1" s="57"/>
    </row>
    <row r="2" spans="1:15">
      <c r="A2" s="22"/>
      <c r="B2" s="23"/>
      <c r="C2" s="56" t="s">
        <v>23</v>
      </c>
      <c r="D2" s="56"/>
      <c r="E2" s="23"/>
      <c r="F2" s="23"/>
      <c r="G2" s="51"/>
      <c r="H2" s="24"/>
      <c r="J2" s="21" t="s">
        <v>8</v>
      </c>
      <c r="K2" s="31" t="s">
        <v>9</v>
      </c>
      <c r="L2" s="31" t="s">
        <v>21</v>
      </c>
      <c r="M2" s="49" t="s">
        <v>63</v>
      </c>
      <c r="N2" s="31" t="s">
        <v>10</v>
      </c>
      <c r="O2" s="20" t="s">
        <v>1</v>
      </c>
    </row>
    <row r="3" spans="1:15">
      <c r="A3" s="25" t="s">
        <v>7</v>
      </c>
      <c r="B3" s="26" t="s">
        <v>11</v>
      </c>
      <c r="C3" s="1" t="s">
        <v>26</v>
      </c>
      <c r="D3" s="1" t="s">
        <v>27</v>
      </c>
      <c r="E3" s="26" t="s">
        <v>33</v>
      </c>
      <c r="F3" s="26" t="s">
        <v>12</v>
      </c>
      <c r="G3" s="52" t="s">
        <v>13</v>
      </c>
      <c r="H3" s="27" t="s">
        <v>64</v>
      </c>
      <c r="I3" s="19"/>
      <c r="J3" s="4">
        <v>12</v>
      </c>
      <c r="K3" s="2" t="str">
        <f>VLOOKUP(J3,テーブル!$O$3:$P$7,2,0)</f>
        <v>ヤマモト</v>
      </c>
      <c r="L3" s="3">
        <f>DSUM(納品データ表!$A$1:$F$25,$L$2,$K$11:$K$12)</f>
        <v>3773</v>
      </c>
      <c r="M3" s="17">
        <f>SUMPRODUCT((納品データ表!$B$2:$B$25=J3)*1,納品データ表!$F$2:$F$25,納品データ表!$E$2:$E$25)</f>
        <v>1028495</v>
      </c>
      <c r="N3" s="3">
        <f>ROUNDDOWN(IF(L3&gt;=3400,M3*8.5%,M3*7.5%),-1)</f>
        <v>87420</v>
      </c>
      <c r="O3" s="5">
        <f>M3+N3</f>
        <v>1115915</v>
      </c>
    </row>
    <row r="4" spans="1:15">
      <c r="A4" s="4" t="s">
        <v>41</v>
      </c>
      <c r="B4" s="2" t="str">
        <f>VLOOKUP(A4,テーブル!$L$3:$M$7,2,0)</f>
        <v>徳光　誠一</v>
      </c>
      <c r="C4" s="3">
        <f ca="1">DSUM(INDIRECT(C$3&amp;"!$A$1:$F$26"),$C$2,$A$12:$A$13)</f>
        <v>133598</v>
      </c>
      <c r="D4" s="3">
        <f ca="1">DSUM(INDIRECT(D$3&amp;"!$A$1:$F$26"),$C$2,$A$12:$A$13)</f>
        <v>111555</v>
      </c>
      <c r="E4" s="3">
        <f ca="1">ROUNDDOWN((C4+D4)*9.6%,-1)</f>
        <v>23530</v>
      </c>
      <c r="F4" s="3">
        <f ca="1">MOD(C4+D4+E4,1000)</f>
        <v>683</v>
      </c>
      <c r="G4" s="53">
        <f ca="1">C4+D4+E4-F4</f>
        <v>268000</v>
      </c>
      <c r="H4" s="5" t="str">
        <f ca="1">IF(AND(C4&lt;=129000,G4&lt;=AVERAGE($G$4:$G$8)),"要努力","")</f>
        <v/>
      </c>
      <c r="I4" s="18"/>
      <c r="J4" s="4">
        <v>15</v>
      </c>
      <c r="K4" s="2" t="str">
        <f>VLOOKUP(J4,テーブル!$O$3:$P$7,2,0)</f>
        <v>遠藤精密</v>
      </c>
      <c r="L4" s="3">
        <f>DSUM(納品データ表!$A$1:$F$25,$L$2,$N$11:$N$12)</f>
        <v>3594</v>
      </c>
      <c r="M4" s="17">
        <f>SUMPRODUCT((納品データ表!$B$2:$B$25=J4)*1,納品データ表!$F$2:$F$25,納品データ表!$E$2:$E$25)</f>
        <v>1035309</v>
      </c>
      <c r="N4" s="3">
        <f>ROUNDDOWN(IF(L4&gt;=3400,M4*8.5%,M4*7.5%),-1)</f>
        <v>88000</v>
      </c>
      <c r="O4" s="5">
        <f>M4+N4</f>
        <v>1123309</v>
      </c>
    </row>
    <row r="5" spans="1:15">
      <c r="A5" s="4" t="s">
        <v>43</v>
      </c>
      <c r="B5" s="2" t="str">
        <f>VLOOKUP(A5,テーブル!$L$3:$M$7,2,0)</f>
        <v>五十嵐　瞳</v>
      </c>
      <c r="C5" s="3">
        <f ca="1">DSUM(INDIRECT(C$3&amp;"!$A$1:$F$26"),$C$2,$B$12:$B$13)</f>
        <v>121214</v>
      </c>
      <c r="D5" s="3">
        <f ca="1">DSUM(INDIRECT(D$3&amp;"!$A$1:$F$26"),$C$2,$B$12:$B$13)</f>
        <v>107521</v>
      </c>
      <c r="E5" s="3">
        <f t="shared" ref="E5:E8" ca="1" si="0">ROUNDDOWN((C5+D5)*9.6%,-1)</f>
        <v>21950</v>
      </c>
      <c r="F5" s="3">
        <f t="shared" ref="F5:F8" ca="1" si="1">MOD(C5+D5+E5,1000)</f>
        <v>685</v>
      </c>
      <c r="G5" s="53">
        <f t="shared" ref="G5:G8" ca="1" si="2">C5+D5+E5-F5</f>
        <v>250000</v>
      </c>
      <c r="H5" s="5" t="str">
        <f t="shared" ref="H5:H8" ca="1" si="3">IF(AND(C5&lt;=129000,G5&lt;=AVERAGE($G$4:$G$8)),"要努力","")</f>
        <v>要努力</v>
      </c>
      <c r="I5" s="18"/>
      <c r="J5" s="4">
        <v>13</v>
      </c>
      <c r="K5" s="2" t="str">
        <f>VLOOKUP(J5,テーブル!$O$3:$P$7,2,0)</f>
        <v>協栄電機</v>
      </c>
      <c r="L5" s="3">
        <f>DSUM(納品データ表!$A$1:$F$25,$L$2,$L$11:$L$12)</f>
        <v>3354</v>
      </c>
      <c r="M5" s="17">
        <f>SUMPRODUCT((納品データ表!$B$2:$B$25=J5)*1,納品データ表!$F$2:$F$25,納品データ表!$E$2:$E$25)</f>
        <v>913995</v>
      </c>
      <c r="N5" s="3">
        <f>ROUNDDOWN(IF(L5&gt;=3400,M5*8.5%,M5*7.5%),-1)</f>
        <v>68540</v>
      </c>
      <c r="O5" s="5">
        <f>M5+N5</f>
        <v>982535</v>
      </c>
    </row>
    <row r="6" spans="1:15">
      <c r="A6" s="4" t="s">
        <v>45</v>
      </c>
      <c r="B6" s="2" t="str">
        <f>VLOOKUP(A6,テーブル!$L$3:$M$7,2,0)</f>
        <v>森　大五郎</v>
      </c>
      <c r="C6" s="3">
        <f ca="1">DSUM(INDIRECT(C$3&amp;"!$A$1:$F$26"),$C$2,$C$12:$C$13)</f>
        <v>129631</v>
      </c>
      <c r="D6" s="3">
        <f ca="1">DSUM(INDIRECT(D$3&amp;"!$A$1:$F$26"),$C$2,$C$12:$C$13)</f>
        <v>104383</v>
      </c>
      <c r="E6" s="3">
        <f t="shared" ca="1" si="0"/>
        <v>22460</v>
      </c>
      <c r="F6" s="3">
        <f t="shared" ca="1" si="1"/>
        <v>474</v>
      </c>
      <c r="G6" s="53">
        <f t="shared" ca="1" si="2"/>
        <v>256000</v>
      </c>
      <c r="H6" s="5" t="str">
        <f t="shared" ca="1" si="3"/>
        <v/>
      </c>
      <c r="I6" s="18"/>
      <c r="J6" s="4">
        <v>14</v>
      </c>
      <c r="K6" s="2" t="str">
        <f>VLOOKUP(J6,テーブル!$O$3:$P$7,2,0)</f>
        <v>ＹＫ製作</v>
      </c>
      <c r="L6" s="3">
        <f>DSUM(納品データ表!$A$1:$F$25,$L$2,$M$11:$M$12)</f>
        <v>3038</v>
      </c>
      <c r="M6" s="17">
        <f>SUMPRODUCT((納品データ表!$B$2:$B$25=J6)*1,納品データ表!$F$2:$F$25,納品データ表!$E$2:$E$25)</f>
        <v>922336</v>
      </c>
      <c r="N6" s="3">
        <f>ROUNDDOWN(IF(L6&gt;=3400,M6*8.5%,M6*7.5%),-1)</f>
        <v>69170</v>
      </c>
      <c r="O6" s="5">
        <f>M6+N6</f>
        <v>991506</v>
      </c>
    </row>
    <row r="7" spans="1:15">
      <c r="A7" s="4" t="s">
        <v>47</v>
      </c>
      <c r="B7" s="2" t="str">
        <f>VLOOKUP(A7,テーブル!$L$3:$M$7,2,0)</f>
        <v>加藤　夏美</v>
      </c>
      <c r="C7" s="3">
        <f ca="1">DSUM(INDIRECT(C$3&amp;"!$A$1:$F$26"),$C$2,$D$12:$D$13)</f>
        <v>126304</v>
      </c>
      <c r="D7" s="3">
        <f ca="1">DSUM(INDIRECT(D$3&amp;"!$A$1:$F$26"),$C$2,$D$12:$D$13)</f>
        <v>114428</v>
      </c>
      <c r="E7" s="3">
        <f t="shared" ca="1" si="0"/>
        <v>23110</v>
      </c>
      <c r="F7" s="3">
        <f t="shared" ca="1" si="1"/>
        <v>842</v>
      </c>
      <c r="G7" s="53">
        <f t="shared" ca="1" si="2"/>
        <v>263000</v>
      </c>
      <c r="H7" s="5" t="str">
        <f t="shared" ca="1" si="3"/>
        <v/>
      </c>
      <c r="I7" s="18"/>
      <c r="J7" s="4">
        <v>11</v>
      </c>
      <c r="K7" s="2" t="str">
        <f>VLOOKUP(J7,テーブル!$O$3:$P$7,2,0)</f>
        <v>赤井金属</v>
      </c>
      <c r="L7" s="3">
        <f>DSUM(納品データ表!$A$1:$F$25,$L$2,$J$11:$J$12)</f>
        <v>3013</v>
      </c>
      <c r="M7" s="17">
        <f>SUMPRODUCT((納品データ表!$B$2:$B$25=J7)*1,納品データ表!$F$2:$F$25,納品データ表!$E$2:$E$25)</f>
        <v>777569</v>
      </c>
      <c r="N7" s="3">
        <f>ROUNDDOWN(IF(L7&gt;=3400,M7*8.5%,M7*7.5%),-1)</f>
        <v>58310</v>
      </c>
      <c r="O7" s="5">
        <f>M7+N7</f>
        <v>835879</v>
      </c>
    </row>
    <row r="8" spans="1:15">
      <c r="A8" s="4" t="s">
        <v>49</v>
      </c>
      <c r="B8" s="2" t="str">
        <f>VLOOKUP(A8,テーブル!$L$3:$M$7,2,0)</f>
        <v>鈴木　英也</v>
      </c>
      <c r="C8" s="3">
        <f ca="1">DSUM(INDIRECT(C$3&amp;"!$A$1:$F$26"),$C$2,$E$12:$E$13)</f>
        <v>126824</v>
      </c>
      <c r="D8" s="3">
        <f ca="1">DSUM(INDIRECT(D$3&amp;"!$A$1:$F$26"),$C$2,$E$12:$E$13)</f>
        <v>107746</v>
      </c>
      <c r="E8" s="3">
        <f t="shared" ca="1" si="0"/>
        <v>22510</v>
      </c>
      <c r="F8" s="3">
        <f t="shared" ca="1" si="1"/>
        <v>80</v>
      </c>
      <c r="G8" s="53">
        <f t="shared" ca="1" si="2"/>
        <v>257000</v>
      </c>
      <c r="H8" s="5" t="str">
        <f t="shared" ca="1" si="3"/>
        <v>要努力</v>
      </c>
      <c r="J8" s="4"/>
      <c r="K8" s="2"/>
      <c r="L8" s="2"/>
      <c r="M8" s="2"/>
      <c r="N8" s="2"/>
      <c r="O8" s="6"/>
    </row>
    <row r="9" spans="1:15" ht="14.25" thickBot="1">
      <c r="A9" s="4"/>
      <c r="B9" s="2"/>
      <c r="C9" s="2"/>
      <c r="D9" s="2"/>
      <c r="E9" s="2"/>
      <c r="F9" s="2"/>
      <c r="G9" s="54"/>
      <c r="H9" s="6"/>
      <c r="I9" s="18"/>
      <c r="J9" s="7"/>
      <c r="K9" s="8" t="s">
        <v>0</v>
      </c>
      <c r="L9" s="9">
        <f>SUM(L3:L7)</f>
        <v>16772</v>
      </c>
      <c r="M9" s="9">
        <f>SUM(M3:M7)</f>
        <v>4677704</v>
      </c>
      <c r="N9" s="9">
        <f>SUM(N3:N7)</f>
        <v>371440</v>
      </c>
      <c r="O9" s="12">
        <f>SUM(O3:O7)</f>
        <v>5049144</v>
      </c>
    </row>
    <row r="10" spans="1:15" ht="14.25" thickBot="1">
      <c r="A10" s="7"/>
      <c r="B10" s="8" t="s">
        <v>0</v>
      </c>
      <c r="C10" s="9">
        <f ca="1">SUM(C4:C8)</f>
        <v>637571</v>
      </c>
      <c r="D10" s="9">
        <f t="shared" ref="D10" ca="1" si="4">SUM(D4:D8)</f>
        <v>545633</v>
      </c>
      <c r="E10" s="9">
        <f ca="1">SUM(E4:E8)</f>
        <v>113560</v>
      </c>
      <c r="F10" s="9">
        <f ca="1">SUM(F4:F8)</f>
        <v>2764</v>
      </c>
      <c r="G10" s="55">
        <f ca="1">SUM(G4:G8)</f>
        <v>1294000</v>
      </c>
      <c r="H10" s="12"/>
    </row>
    <row r="11" spans="1:15" ht="14.25" thickBot="1">
      <c r="I11" s="32"/>
      <c r="J11" s="13" t="s">
        <v>8</v>
      </c>
      <c r="K11" s="10" t="s">
        <v>8</v>
      </c>
      <c r="L11" s="15" t="s">
        <v>8</v>
      </c>
      <c r="M11" s="15" t="s">
        <v>8</v>
      </c>
      <c r="N11" s="15" t="s">
        <v>8</v>
      </c>
    </row>
    <row r="12" spans="1:15" ht="14.25" thickBot="1">
      <c r="A12" s="13" t="s">
        <v>7</v>
      </c>
      <c r="B12" s="10" t="s">
        <v>7</v>
      </c>
      <c r="C12" s="15" t="s">
        <v>7</v>
      </c>
      <c r="D12" s="15" t="s">
        <v>7</v>
      </c>
      <c r="E12" s="15" t="s">
        <v>7</v>
      </c>
      <c r="G12" s="32"/>
      <c r="H12" s="32"/>
      <c r="J12" s="14">
        <v>11</v>
      </c>
      <c r="K12" s="11">
        <v>12</v>
      </c>
      <c r="L12" s="16">
        <v>13</v>
      </c>
      <c r="M12" s="16">
        <v>14</v>
      </c>
      <c r="N12" s="16">
        <v>15</v>
      </c>
    </row>
    <row r="13" spans="1:15" ht="14.25" thickBot="1">
      <c r="A13" s="14" t="s">
        <v>41</v>
      </c>
      <c r="B13" s="11" t="s">
        <v>43</v>
      </c>
      <c r="C13" s="16" t="s">
        <v>45</v>
      </c>
      <c r="D13" s="16" t="s">
        <v>47</v>
      </c>
      <c r="E13" s="16" t="s">
        <v>49</v>
      </c>
    </row>
    <row r="19" spans="3:3">
      <c r="C19" t="s">
        <v>34</v>
      </c>
    </row>
  </sheetData>
  <sortState xmlns:xlrd2="http://schemas.microsoft.com/office/spreadsheetml/2017/richdata2" ref="J3:O7">
    <sortCondition descending="1" ref="L3:L7"/>
  </sortState>
  <mergeCells count="3">
    <mergeCell ref="C2:D2"/>
    <mergeCell ref="J1:O1"/>
    <mergeCell ref="A1:H1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テーブル</vt:lpstr>
      <vt:lpstr>製品Ｘ</vt:lpstr>
      <vt:lpstr>製品Ｙ</vt:lpstr>
      <vt:lpstr>納品データ表</vt:lpstr>
      <vt:lpstr>計算表</vt:lpstr>
      <vt:lpstr>計算表!_Hlk109632627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統括本部 検定担当</cp:lastModifiedBy>
  <cp:lastPrinted>2020-10-22T00:25:14Z</cp:lastPrinted>
  <dcterms:created xsi:type="dcterms:W3CDTF">2019-03-28T01:49:55Z</dcterms:created>
  <dcterms:modified xsi:type="dcterms:W3CDTF">2024-12-25T04:58:05Z</dcterms:modified>
</cp:coreProperties>
</file>