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2_問題集\2023(令和05)年度\1表計算\3_SP初段\模範解答\sps-A\"/>
    </mc:Choice>
  </mc:AlternateContent>
  <xr:revisionPtr revIDLastSave="0" documentId="13_ncr:1_{D13360BC-1E6C-43E3-A0B9-A55E5DE093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1" r:id="rId1"/>
    <sheet name="データ表" sheetId="5" r:id="rId2"/>
    <sheet name="計算表" sheetId="6" r:id="rId3"/>
  </sheets>
  <definedNames>
    <definedName name="_xlnm._FilterDatabase" localSheetId="1" hidden="1">データ表!$A$1:$I$33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6" l="1"/>
  <c r="C5" i="6"/>
  <c r="C6" i="6"/>
  <c r="C3" i="6"/>
  <c r="P4" i="6"/>
  <c r="P3" i="6"/>
  <c r="P2" i="6"/>
  <c r="F2" i="5"/>
  <c r="B6" i="6"/>
  <c r="B5" i="6"/>
  <c r="B4" i="6"/>
  <c r="B3" i="6"/>
  <c r="D6" i="6" l="1"/>
  <c r="D3" i="6"/>
  <c r="E3" i="6"/>
  <c r="E6" i="6"/>
  <c r="D5" i="6"/>
  <c r="E5" i="6" s="1"/>
  <c r="I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F3" i="5" l="1"/>
  <c r="G3" i="5" s="1"/>
  <c r="F4" i="5"/>
  <c r="G4" i="5" s="1"/>
  <c r="F5" i="5"/>
  <c r="G5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 s="1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2" i="5"/>
  <c r="G22" i="5" s="1"/>
  <c r="F23" i="5"/>
  <c r="G23" i="5" s="1"/>
  <c r="F24" i="5"/>
  <c r="G24" i="5" s="1"/>
  <c r="F25" i="5"/>
  <c r="G25" i="5" s="1"/>
  <c r="F26" i="5"/>
  <c r="G26" i="5" s="1"/>
  <c r="F27" i="5"/>
  <c r="G27" i="5" s="1"/>
  <c r="F28" i="5"/>
  <c r="G28" i="5" s="1"/>
  <c r="F29" i="5"/>
  <c r="G29" i="5" s="1"/>
  <c r="F30" i="5"/>
  <c r="G30" i="5" s="1"/>
  <c r="F31" i="5"/>
  <c r="G31" i="5" s="1"/>
  <c r="F32" i="5"/>
  <c r="G32" i="5" s="1"/>
  <c r="F33" i="5"/>
  <c r="G33" i="5" s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G2" i="5"/>
  <c r="D2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P11" i="6" l="1"/>
  <c r="J3" i="6"/>
  <c r="K10" i="6"/>
  <c r="J10" i="6"/>
  <c r="I10" i="6"/>
  <c r="K9" i="6"/>
  <c r="J9" i="6"/>
  <c r="I9" i="6"/>
  <c r="K8" i="6"/>
  <c r="J8" i="6"/>
  <c r="I8" i="6"/>
  <c r="K7" i="6"/>
  <c r="J7" i="6"/>
  <c r="I7" i="6"/>
  <c r="K6" i="6"/>
  <c r="J6" i="6"/>
  <c r="I6" i="6"/>
  <c r="K5" i="6"/>
  <c r="J5" i="6"/>
  <c r="I5" i="6"/>
  <c r="K4" i="6"/>
  <c r="J4" i="6"/>
  <c r="I4" i="6"/>
  <c r="K3" i="6"/>
  <c r="I3" i="6"/>
  <c r="D4" i="6" l="1"/>
  <c r="E4" i="6" s="1"/>
  <c r="L9" i="6"/>
  <c r="L7" i="6"/>
  <c r="L5" i="6"/>
  <c r="C8" i="6"/>
  <c r="L3" i="6"/>
  <c r="L4" i="6"/>
  <c r="L6" i="6"/>
  <c r="L8" i="6"/>
  <c r="L10" i="6"/>
  <c r="E35" i="5"/>
  <c r="F4" i="6" l="1"/>
  <c r="F3" i="6"/>
  <c r="F5" i="6"/>
  <c r="F6" i="6"/>
  <c r="G35" i="5"/>
  <c r="I35" i="5"/>
  <c r="B8" i="6" l="1"/>
  <c r="M4" i="6" l="1"/>
  <c r="M3" i="6"/>
  <c r="M5" i="6"/>
  <c r="M6" i="6"/>
  <c r="M7" i="6"/>
  <c r="M8" i="6"/>
  <c r="M9" i="6"/>
  <c r="M10" i="6"/>
  <c r="D8" i="6" l="1"/>
  <c r="E8" i="6"/>
</calcChain>
</file>

<file path=xl/sharedStrings.xml><?xml version="1.0" encoding="utf-8"?>
<sst xmlns="http://schemas.openxmlformats.org/spreadsheetml/2006/main" count="118" uniqueCount="62">
  <si>
    <t>商ＣＯ</t>
  </si>
  <si>
    <t>商品名</t>
  </si>
  <si>
    <t>＜商品テーブル＞</t>
  </si>
  <si>
    <t>合　計</t>
  </si>
  <si>
    <t>得ＣＯ</t>
  </si>
  <si>
    <t>得意先名</t>
  </si>
  <si>
    <t>割引額</t>
  </si>
  <si>
    <t>請求額</t>
  </si>
  <si>
    <t>A</t>
  </si>
  <si>
    <t>B</t>
  </si>
  <si>
    <t>C</t>
  </si>
  <si>
    <t>商品別集計表</t>
  </si>
  <si>
    <t>日数</t>
  </si>
  <si>
    <t>乗率</t>
  </si>
  <si>
    <t>貸出料金</t>
  </si>
  <si>
    <t>ＯＰ</t>
  </si>
  <si>
    <t>ＯＰ料金</t>
  </si>
  <si>
    <t>料金合計</t>
  </si>
  <si>
    <t>判定</t>
  </si>
  <si>
    <t>１日料金</t>
  </si>
  <si>
    <t>1～9</t>
  </si>
  <si>
    <t>10～19</t>
  </si>
  <si>
    <t>&gt;10</t>
  </si>
  <si>
    <t>&lt;15</t>
  </si>
  <si>
    <t>＜得意先テーブル＞</t>
    <phoneticPr fontId="1"/>
  </si>
  <si>
    <t>＜乗率表＞</t>
    <phoneticPr fontId="1"/>
  </si>
  <si>
    <t>得意先別計算表</t>
    <phoneticPr fontId="1"/>
  </si>
  <si>
    <t>合　計</t>
    <phoneticPr fontId="1"/>
  </si>
  <si>
    <t>ＯＰ単価</t>
    <rPh sb="2" eb="4">
      <t>タンカ</t>
    </rPh>
    <phoneticPr fontId="1"/>
  </si>
  <si>
    <t>ＯＰ</t>
    <phoneticPr fontId="1"/>
  </si>
  <si>
    <t>日数</t>
    <rPh sb="0" eb="2">
      <t>ニッスウ</t>
    </rPh>
    <phoneticPr fontId="1"/>
  </si>
  <si>
    <t>ＯＰ料金</t>
    <rPh sb="2" eb="4">
      <t>リョウキン</t>
    </rPh>
    <phoneticPr fontId="1"/>
  </si>
  <si>
    <t>構成比率</t>
    <rPh sb="0" eb="4">
      <t>コウセイヒリツ</t>
    </rPh>
    <phoneticPr fontId="1"/>
  </si>
  <si>
    <t>日新企画</t>
    <rPh sb="0" eb="2">
      <t>ニッシン</t>
    </rPh>
    <rPh sb="2" eb="4">
      <t>キカク</t>
    </rPh>
    <phoneticPr fontId="1"/>
  </si>
  <si>
    <t>九州商事</t>
    <rPh sb="0" eb="2">
      <t>キュウシュウ</t>
    </rPh>
    <rPh sb="2" eb="4">
      <t>ショウジ</t>
    </rPh>
    <phoneticPr fontId="1"/>
  </si>
  <si>
    <t>青木総業</t>
    <rPh sb="0" eb="2">
      <t>アオキ</t>
    </rPh>
    <rPh sb="2" eb="4">
      <t>ソウギョウ</t>
    </rPh>
    <phoneticPr fontId="1"/>
  </si>
  <si>
    <t>ＢＳ物産</t>
  </si>
  <si>
    <t>商品Ｓ</t>
  </si>
  <si>
    <t>商品Ｓ</t>
    <phoneticPr fontId="1"/>
  </si>
  <si>
    <t>商品Ｔ</t>
  </si>
  <si>
    <t>商品Ｔ</t>
    <phoneticPr fontId="1"/>
  </si>
  <si>
    <t>商品Ｕ</t>
  </si>
  <si>
    <t>商品Ｕ</t>
    <phoneticPr fontId="1"/>
  </si>
  <si>
    <t>商品Ｖ</t>
  </si>
  <si>
    <t>商品Ｖ</t>
    <phoneticPr fontId="1"/>
  </si>
  <si>
    <t>商品Ｗ</t>
  </si>
  <si>
    <t>商品Ｗ</t>
    <phoneticPr fontId="1"/>
  </si>
  <si>
    <t>商品Ｘ</t>
  </si>
  <si>
    <t>商品Ｘ</t>
    <phoneticPr fontId="1"/>
  </si>
  <si>
    <t>商品Ｙ</t>
  </si>
  <si>
    <t>商品Ｙ</t>
    <phoneticPr fontId="1"/>
  </si>
  <si>
    <t>商品Ｚ</t>
  </si>
  <si>
    <t>商品Ｚ</t>
    <phoneticPr fontId="1"/>
  </si>
  <si>
    <t>B</t>
    <phoneticPr fontId="1"/>
  </si>
  <si>
    <t>C</t>
    <phoneticPr fontId="1"/>
  </si>
  <si>
    <t>A</t>
    <phoneticPr fontId="1"/>
  </si>
  <si>
    <t>貸出料金が最大の得意先名</t>
    <rPh sb="0" eb="4">
      <t>カシダシリョウキン</t>
    </rPh>
    <rPh sb="5" eb="7">
      <t>サイダイ</t>
    </rPh>
    <rPh sb="8" eb="12">
      <t>トクイサキメイ</t>
    </rPh>
    <phoneticPr fontId="1"/>
  </si>
  <si>
    <t>貸出料金</t>
    <rPh sb="0" eb="4">
      <t>カシダシリョウキン</t>
    </rPh>
    <phoneticPr fontId="1"/>
  </si>
  <si>
    <t>日数が10超15未満の貸出料金の合計</t>
    <rPh sb="5" eb="6">
      <t>チョウ</t>
    </rPh>
    <rPh sb="8" eb="10">
      <t>ミマン</t>
    </rPh>
    <phoneticPr fontId="1"/>
  </si>
  <si>
    <t>&lt;&gt;九州商事</t>
    <rPh sb="2" eb="4">
      <t>キュウシュウ</t>
    </rPh>
    <rPh sb="4" eb="6">
      <t>ショウジ</t>
    </rPh>
    <phoneticPr fontId="1"/>
  </si>
  <si>
    <t>&gt;3700</t>
    <phoneticPr fontId="1"/>
  </si>
  <si>
    <t>九州商事以外でＯＰ料金が3,700円より多い件数</t>
    <rPh sb="0" eb="2">
      <t>キュウシュウ</t>
    </rPh>
    <rPh sb="2" eb="4">
      <t>ショウジ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</si>
</sst>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1"/>
      <charset val="128"/>
    </font>
    <font>
      <sz val="1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3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1" xfId="1" applyFont="1" applyBorder="1">
      <alignment vertical="center"/>
    </xf>
    <xf numFmtId="38" fontId="0" fillId="0" borderId="1" xfId="2" applyFont="1" applyBorder="1">
      <alignment vertical="center"/>
    </xf>
    <xf numFmtId="38" fontId="0" fillId="0" borderId="6" xfId="2" applyFont="1" applyBorder="1">
      <alignment vertical="center"/>
    </xf>
    <xf numFmtId="38" fontId="0" fillId="0" borderId="8" xfId="2" applyFont="1" applyBorder="1">
      <alignment vertical="center"/>
    </xf>
    <xf numFmtId="38" fontId="0" fillId="0" borderId="9" xfId="2" applyFont="1" applyBorder="1">
      <alignment vertical="center"/>
    </xf>
    <xf numFmtId="3" fontId="0" fillId="0" borderId="0" xfId="0" applyNumberFormat="1">
      <alignment vertical="center"/>
    </xf>
    <xf numFmtId="0" fontId="3" fillId="0" borderId="0" xfId="0" applyFont="1">
      <alignment vertical="center"/>
    </xf>
    <xf numFmtId="9" fontId="0" fillId="0" borderId="1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2" applyFont="1" applyFill="1" applyBorder="1">
      <alignment vertical="center"/>
    </xf>
    <xf numFmtId="0" fontId="4" fillId="0" borderId="5" xfId="0" applyFont="1" applyBorder="1">
      <alignment vertical="center"/>
    </xf>
    <xf numFmtId="0" fontId="0" fillId="0" borderId="10" xfId="0" applyBorder="1" applyAlignment="1">
      <alignment horizontal="center" vertical="center"/>
    </xf>
    <xf numFmtId="4" fontId="0" fillId="0" borderId="0" xfId="0" applyNumberFormat="1">
      <alignment vertical="center"/>
    </xf>
    <xf numFmtId="0" fontId="0" fillId="0" borderId="15" xfId="0" applyBorder="1" applyAlignment="1">
      <alignment horizontal="center" vertical="center"/>
    </xf>
    <xf numFmtId="0" fontId="4" fillId="0" borderId="16" xfId="0" applyFont="1" applyBorder="1">
      <alignment vertical="center"/>
    </xf>
    <xf numFmtId="38" fontId="0" fillId="0" borderId="4" xfId="2" applyFont="1" applyBorder="1">
      <alignment vertical="center"/>
    </xf>
    <xf numFmtId="176" fontId="0" fillId="0" borderId="6" xfId="1" applyNumberFormat="1" applyFont="1" applyBorder="1">
      <alignment vertical="center"/>
    </xf>
    <xf numFmtId="176" fontId="0" fillId="0" borderId="9" xfId="1" applyNumberFormat="1" applyFont="1" applyBorder="1">
      <alignment vertical="center"/>
    </xf>
    <xf numFmtId="0" fontId="4" fillId="0" borderId="1" xfId="0" applyFont="1" applyBorder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4" fillId="0" borderId="3" xfId="0" applyFont="1" applyBorder="1" applyAlignment="1">
      <alignment horizontal="center" vertical="center"/>
    </xf>
    <xf numFmtId="38" fontId="4" fillId="0" borderId="1" xfId="2" applyFont="1" applyBorder="1">
      <alignment vertical="center"/>
    </xf>
    <xf numFmtId="38" fontId="4" fillId="0" borderId="8" xfId="2" applyFont="1" applyBorder="1">
      <alignment vertical="center"/>
    </xf>
    <xf numFmtId="3" fontId="0" fillId="0" borderId="6" xfId="0" applyNumberFormat="1" applyBorder="1">
      <alignment vertical="center"/>
    </xf>
    <xf numFmtId="38" fontId="0" fillId="0" borderId="9" xfId="2" applyFont="1" applyFill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5" fillId="0" borderId="2" xfId="0" applyFont="1" applyBorder="1">
      <alignment vertical="center"/>
    </xf>
    <xf numFmtId="38" fontId="0" fillId="0" borderId="16" xfId="2" applyFont="1" applyBorder="1">
      <alignment vertical="center"/>
    </xf>
    <xf numFmtId="38" fontId="0" fillId="0" borderId="1" xfId="2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100" b="0">
                <a:latin typeface="ＭＳ 明朝" panose="02020609040205080304" pitchFamily="17" charset="-128"/>
                <a:ea typeface="ＭＳ 明朝" panose="02020609040205080304" pitchFamily="17" charset="-128"/>
              </a:rPr>
              <a:t>商品別の集計グラフ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計算表!$L$2</c:f>
              <c:strCache>
                <c:ptCount val="1"/>
                <c:pt idx="0">
                  <c:v>料金合計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計算表!$H$3:$H$10</c:f>
              <c:strCache>
                <c:ptCount val="8"/>
                <c:pt idx="0">
                  <c:v>商品Ｓ</c:v>
                </c:pt>
                <c:pt idx="1">
                  <c:v>商品Ｔ</c:v>
                </c:pt>
                <c:pt idx="2">
                  <c:v>商品Ｕ</c:v>
                </c:pt>
                <c:pt idx="3">
                  <c:v>商品Ｖ</c:v>
                </c:pt>
                <c:pt idx="4">
                  <c:v>商品Ｗ</c:v>
                </c:pt>
                <c:pt idx="5">
                  <c:v>商品Ｘ</c:v>
                </c:pt>
                <c:pt idx="6">
                  <c:v>商品Ｙ</c:v>
                </c:pt>
                <c:pt idx="7">
                  <c:v>商品Ｚ</c:v>
                </c:pt>
              </c:strCache>
            </c:strRef>
          </c:cat>
          <c:val>
            <c:numRef>
              <c:f>計算表!$L$3:$L$10</c:f>
              <c:numCache>
                <c:formatCode>#,##0_);[Red]\(#,##0\)</c:formatCode>
                <c:ptCount val="8"/>
                <c:pt idx="0">
                  <c:v>225480</c:v>
                </c:pt>
                <c:pt idx="1">
                  <c:v>199790</c:v>
                </c:pt>
                <c:pt idx="2">
                  <c:v>220300</c:v>
                </c:pt>
                <c:pt idx="3">
                  <c:v>191340</c:v>
                </c:pt>
                <c:pt idx="4">
                  <c:v>177520</c:v>
                </c:pt>
                <c:pt idx="5">
                  <c:v>196570</c:v>
                </c:pt>
                <c:pt idx="6">
                  <c:v>160840</c:v>
                </c:pt>
                <c:pt idx="7">
                  <c:v>138450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C8-4DF2-B3C7-F54448F97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6389712"/>
        <c:axId val="706396928"/>
      </c:barChart>
      <c:lineChart>
        <c:grouping val="stacked"/>
        <c:varyColors val="0"/>
        <c:ser>
          <c:idx val="0"/>
          <c:order val="1"/>
          <c:tx>
            <c:strRef>
              <c:f>計算表!$I$2</c:f>
              <c:strCache>
                <c:ptCount val="1"/>
                <c:pt idx="0">
                  <c:v>日数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計算表!$H$3:$H$10</c:f>
              <c:strCache>
                <c:ptCount val="8"/>
                <c:pt idx="0">
                  <c:v>商品Ｓ</c:v>
                </c:pt>
                <c:pt idx="1">
                  <c:v>商品Ｔ</c:v>
                </c:pt>
                <c:pt idx="2">
                  <c:v>商品Ｕ</c:v>
                </c:pt>
                <c:pt idx="3">
                  <c:v>商品Ｖ</c:v>
                </c:pt>
                <c:pt idx="4">
                  <c:v>商品Ｗ</c:v>
                </c:pt>
                <c:pt idx="5">
                  <c:v>商品Ｘ</c:v>
                </c:pt>
                <c:pt idx="6">
                  <c:v>商品Ｙ</c:v>
                </c:pt>
                <c:pt idx="7">
                  <c:v>商品Ｚ</c:v>
                </c:pt>
              </c:strCache>
            </c:strRef>
          </c:cat>
          <c:val>
            <c:numRef>
              <c:f>計算表!$I$3:$I$10</c:f>
              <c:numCache>
                <c:formatCode>#,##0_);[Red]\(#,##0\)</c:formatCode>
                <c:ptCount val="8"/>
                <c:pt idx="0">
                  <c:v>46</c:v>
                </c:pt>
                <c:pt idx="1">
                  <c:v>43</c:v>
                </c:pt>
                <c:pt idx="2">
                  <c:v>50</c:v>
                </c:pt>
                <c:pt idx="3">
                  <c:v>40</c:v>
                </c:pt>
                <c:pt idx="4">
                  <c:v>45</c:v>
                </c:pt>
                <c:pt idx="5">
                  <c:v>49</c:v>
                </c:pt>
                <c:pt idx="6">
                  <c:v>41</c:v>
                </c:pt>
                <c:pt idx="7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C8-4DF2-B3C7-F54448F97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7248"/>
        <c:axId val="117238784"/>
      </c:lineChart>
      <c:catAx>
        <c:axId val="11723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17238784"/>
        <c:crosses val="autoZero"/>
        <c:auto val="1"/>
        <c:lblAlgn val="ctr"/>
        <c:lblOffset val="100"/>
        <c:noMultiLvlLbl val="0"/>
      </c:catAx>
      <c:valAx>
        <c:axId val="1172387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[Red]\(#,##0\)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17237248"/>
        <c:crosses val="autoZero"/>
        <c:crossBetween val="between"/>
      </c:valAx>
      <c:valAx>
        <c:axId val="706396928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 baseline="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706389712"/>
        <c:crosses val="max"/>
        <c:crossBetween val="between"/>
      </c:valAx>
      <c:catAx>
        <c:axId val="706389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6396928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>
              <a:latin typeface="ＭＳ 明朝" panose="02020609040205080304" pitchFamily="17" charset="-128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628650</xdr:colOff>
      <xdr:row>16</xdr:row>
      <xdr:rowOff>76200</xdr:rowOff>
    </xdr:from>
    <xdr:to>
      <xdr:col>14</xdr:col>
      <xdr:colOff>2695575</xdr:colOff>
      <xdr:row>32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20F915-596B-28EC-79F6-6E56E6B0A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workbookViewId="0"/>
  </sheetViews>
  <sheetFormatPr defaultRowHeight="13.5"/>
  <cols>
    <col min="1" max="1" width="7.5" bestFit="1" customWidth="1"/>
    <col min="2" max="2" width="10.875" customWidth="1"/>
    <col min="3" max="3" width="5" customWidth="1"/>
    <col min="4" max="5" width="7.5" bestFit="1" customWidth="1"/>
    <col min="6" max="6" width="9.5" bestFit="1" customWidth="1"/>
    <col min="7" max="9" width="4.5" bestFit="1" customWidth="1"/>
    <col min="10" max="10" width="5" customWidth="1"/>
    <col min="11" max="11" width="9.5" bestFit="1" customWidth="1"/>
    <col min="12" max="12" width="5.5" bestFit="1" customWidth="1"/>
    <col min="13" max="13" width="7.5" bestFit="1" customWidth="1"/>
    <col min="14" max="14" width="9" customWidth="1"/>
  </cols>
  <sheetData>
    <row r="1" spans="1:13">
      <c r="A1" t="s">
        <v>24</v>
      </c>
      <c r="D1" t="s">
        <v>2</v>
      </c>
      <c r="K1" t="s">
        <v>25</v>
      </c>
    </row>
    <row r="2" spans="1:13">
      <c r="A2" s="1" t="s">
        <v>4</v>
      </c>
      <c r="B2" s="1" t="s">
        <v>5</v>
      </c>
      <c r="D2" s="50" t="s">
        <v>0</v>
      </c>
      <c r="E2" s="50" t="s">
        <v>1</v>
      </c>
      <c r="F2" s="50" t="s">
        <v>19</v>
      </c>
      <c r="G2" s="50" t="s">
        <v>28</v>
      </c>
      <c r="H2" s="50"/>
      <c r="I2" s="50"/>
      <c r="K2" s="48" t="s">
        <v>19</v>
      </c>
      <c r="L2" s="46" t="s">
        <v>12</v>
      </c>
      <c r="M2" s="47"/>
    </row>
    <row r="3" spans="1:13">
      <c r="A3" s="2">
        <v>11</v>
      </c>
      <c r="B3" s="33" t="s">
        <v>33</v>
      </c>
      <c r="D3" s="50"/>
      <c r="E3" s="50"/>
      <c r="F3" s="50"/>
      <c r="G3" s="51" t="s">
        <v>29</v>
      </c>
      <c r="H3" s="51"/>
      <c r="I3" s="51"/>
      <c r="K3" s="49"/>
      <c r="L3" s="1" t="s">
        <v>20</v>
      </c>
      <c r="M3" s="1" t="s">
        <v>21</v>
      </c>
    </row>
    <row r="4" spans="1:13">
      <c r="A4" s="2">
        <v>12</v>
      </c>
      <c r="B4" s="33" t="s">
        <v>34</v>
      </c>
      <c r="D4" s="50"/>
      <c r="E4" s="50"/>
      <c r="F4" s="50"/>
      <c r="G4" s="26" t="s">
        <v>8</v>
      </c>
      <c r="H4" s="26" t="s">
        <v>9</v>
      </c>
      <c r="I4" s="26" t="s">
        <v>10</v>
      </c>
      <c r="K4" s="2">
        <v>1</v>
      </c>
      <c r="L4" s="15">
        <v>1</v>
      </c>
      <c r="M4" s="15">
        <v>0.7</v>
      </c>
    </row>
    <row r="5" spans="1:13">
      <c r="A5" s="2">
        <v>13</v>
      </c>
      <c r="B5" s="33" t="s">
        <v>35</v>
      </c>
      <c r="D5" s="2">
        <v>101</v>
      </c>
      <c r="E5" s="2" t="s">
        <v>38</v>
      </c>
      <c r="F5" s="3">
        <v>7240</v>
      </c>
      <c r="G5" s="2">
        <v>506</v>
      </c>
      <c r="H5" s="2">
        <v>362</v>
      </c>
      <c r="I5" s="2">
        <v>289</v>
      </c>
      <c r="K5" s="3">
        <v>5000</v>
      </c>
      <c r="L5" s="15">
        <v>0.85</v>
      </c>
      <c r="M5" s="15">
        <v>0.65</v>
      </c>
    </row>
    <row r="6" spans="1:13">
      <c r="A6" s="2">
        <v>14</v>
      </c>
      <c r="B6" s="33" t="s">
        <v>36</v>
      </c>
      <c r="D6" s="2">
        <v>102</v>
      </c>
      <c r="E6" s="2" t="s">
        <v>40</v>
      </c>
      <c r="F6" s="3">
        <v>6590</v>
      </c>
      <c r="G6" s="2">
        <v>461</v>
      </c>
      <c r="H6" s="2">
        <v>329</v>
      </c>
      <c r="I6" s="2">
        <v>263</v>
      </c>
      <c r="K6" s="3">
        <v>6000</v>
      </c>
      <c r="L6" s="15">
        <v>0.8</v>
      </c>
      <c r="M6" s="15">
        <v>0.6</v>
      </c>
    </row>
    <row r="7" spans="1:13">
      <c r="D7" s="2">
        <v>103</v>
      </c>
      <c r="E7" s="2" t="s">
        <v>42</v>
      </c>
      <c r="F7" s="3">
        <v>6180</v>
      </c>
      <c r="G7" s="2">
        <v>432</v>
      </c>
      <c r="H7" s="2">
        <v>309</v>
      </c>
      <c r="I7" s="2">
        <v>247</v>
      </c>
    </row>
    <row r="8" spans="1:13">
      <c r="D8" s="2">
        <v>104</v>
      </c>
      <c r="E8" s="2" t="s">
        <v>44</v>
      </c>
      <c r="F8" s="3">
        <v>5820</v>
      </c>
      <c r="G8" s="2">
        <v>407</v>
      </c>
      <c r="H8" s="2">
        <v>291</v>
      </c>
      <c r="I8" s="2">
        <v>232</v>
      </c>
    </row>
    <row r="9" spans="1:13">
      <c r="D9" s="2">
        <v>105</v>
      </c>
      <c r="E9" s="2" t="s">
        <v>46</v>
      </c>
      <c r="F9" s="3">
        <v>5240</v>
      </c>
      <c r="G9" s="2">
        <v>366</v>
      </c>
      <c r="H9" s="2">
        <v>262</v>
      </c>
      <c r="I9" s="2">
        <v>209</v>
      </c>
    </row>
    <row r="10" spans="1:13">
      <c r="D10" s="2">
        <v>106</v>
      </c>
      <c r="E10" s="2" t="s">
        <v>48</v>
      </c>
      <c r="F10" s="3">
        <v>4980</v>
      </c>
      <c r="G10" s="2">
        <v>348</v>
      </c>
      <c r="H10" s="2">
        <v>249</v>
      </c>
      <c r="I10" s="2">
        <v>199</v>
      </c>
    </row>
    <row r="11" spans="1:13">
      <c r="D11" s="2">
        <v>107</v>
      </c>
      <c r="E11" s="2" t="s">
        <v>50</v>
      </c>
      <c r="F11" s="3">
        <v>4510</v>
      </c>
      <c r="G11" s="2">
        <v>315</v>
      </c>
      <c r="H11" s="2">
        <v>225</v>
      </c>
      <c r="I11" s="2">
        <v>180</v>
      </c>
    </row>
    <row r="12" spans="1:13">
      <c r="D12" s="2">
        <v>108</v>
      </c>
      <c r="E12" s="2" t="s">
        <v>52</v>
      </c>
      <c r="F12" s="3">
        <v>3870</v>
      </c>
      <c r="G12" s="2">
        <v>270</v>
      </c>
      <c r="H12" s="2">
        <v>193</v>
      </c>
      <c r="I12" s="2">
        <v>154</v>
      </c>
    </row>
  </sheetData>
  <sortState xmlns:xlrd2="http://schemas.microsoft.com/office/spreadsheetml/2017/richdata2" ref="B2:K5">
    <sortCondition descending="1" ref="E2"/>
  </sortState>
  <mergeCells count="7">
    <mergeCell ref="L2:M2"/>
    <mergeCell ref="K2:K3"/>
    <mergeCell ref="G2:I2"/>
    <mergeCell ref="D2:D4"/>
    <mergeCell ref="E2:E4"/>
    <mergeCell ref="F2:F4"/>
    <mergeCell ref="G3:I3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"/>
  <sheetViews>
    <sheetView workbookViewId="0"/>
  </sheetViews>
  <sheetFormatPr defaultRowHeight="13.5"/>
  <cols>
    <col min="1" max="1" width="7.5" bestFit="1" customWidth="1"/>
    <col min="2" max="2" width="9.5" bestFit="1" customWidth="1"/>
    <col min="3" max="4" width="7.5" bestFit="1" customWidth="1"/>
    <col min="5" max="6" width="5.5" bestFit="1" customWidth="1"/>
    <col min="7" max="7" width="10.5" bestFit="1" customWidth="1"/>
    <col min="8" max="8" width="5.5" bestFit="1" customWidth="1"/>
    <col min="9" max="9" width="9.5" bestFit="1" customWidth="1"/>
    <col min="10" max="10" width="11.625" customWidth="1"/>
    <col min="11" max="12" width="9" customWidth="1"/>
  </cols>
  <sheetData>
    <row r="1" spans="1:9">
      <c r="A1" s="4" t="s">
        <v>4</v>
      </c>
      <c r="B1" s="5" t="s">
        <v>5</v>
      </c>
      <c r="C1" s="5" t="s">
        <v>0</v>
      </c>
      <c r="D1" s="5" t="s">
        <v>1</v>
      </c>
      <c r="E1" s="5" t="s">
        <v>12</v>
      </c>
      <c r="F1" s="5" t="s">
        <v>13</v>
      </c>
      <c r="G1" s="5" t="s">
        <v>14</v>
      </c>
      <c r="H1" s="5" t="s">
        <v>15</v>
      </c>
      <c r="I1" s="6" t="s">
        <v>16</v>
      </c>
    </row>
    <row r="2" spans="1:9">
      <c r="A2" s="7">
        <v>11</v>
      </c>
      <c r="B2" s="2" t="str">
        <f>VLOOKUP(A2,テーブル!$A$3:$B$6,2,0)</f>
        <v>日新企画</v>
      </c>
      <c r="C2" s="2">
        <v>101</v>
      </c>
      <c r="D2" s="2" t="str">
        <f>VLOOKUP(C2,テーブル!$D$5:$I$12,2,0)</f>
        <v>商品Ｓ</v>
      </c>
      <c r="E2" s="2">
        <v>13</v>
      </c>
      <c r="F2" s="22">
        <f>VLOOKUP(VLOOKUP(C2,テーブル!$D$5:$I$12,3,0),テーブル!$K$4:$M$6,INT(E2/10)+2,1)</f>
        <v>0.6</v>
      </c>
      <c r="G2" s="3">
        <f>ROUNDUP(VLOOKUP(C2,テーブル!$D$5:$I$12,3,0)*E2*F2,-1)</f>
        <v>56480</v>
      </c>
      <c r="H2" s="2" t="s">
        <v>53</v>
      </c>
      <c r="I2" s="39">
        <f>ROUNDDOWN(INDEX(テーブル!$G$5:$I$12,MATCH(C2,テーブル!$D$5:$D$12,0),MATCH(H2,テーブル!$G$4:$I$4,0))*E2,-2)</f>
        <v>4700</v>
      </c>
    </row>
    <row r="3" spans="1:9">
      <c r="A3" s="7">
        <v>11</v>
      </c>
      <c r="B3" s="2" t="str">
        <f>VLOOKUP(A3,テーブル!$A$3:$B$6,2,0)</f>
        <v>日新企画</v>
      </c>
      <c r="C3" s="2">
        <v>102</v>
      </c>
      <c r="D3" s="2" t="str">
        <f>VLOOKUP(C3,テーブル!$D$5:$I$12,2,0)</f>
        <v>商品Ｔ</v>
      </c>
      <c r="E3" s="2">
        <v>10</v>
      </c>
      <c r="F3" s="22">
        <f>VLOOKUP(VLOOKUP(C3,テーブル!$D$5:$I$12,3,0),テーブル!$K$4:$M$6,INT(E3/10)+2,1)</f>
        <v>0.6</v>
      </c>
      <c r="G3" s="3">
        <f>ROUNDUP(VLOOKUP(C3,テーブル!$D$5:$I$12,3,0)*E3*F3,-1)</f>
        <v>39540</v>
      </c>
      <c r="H3" s="2" t="s">
        <v>8</v>
      </c>
      <c r="I3" s="39">
        <f>ROUNDDOWN(INDEX(テーブル!$G$5:$I$12,MATCH(C3,テーブル!$D$5:$D$12,0),MATCH(H3,テーブル!$G$4:$I$4,0))*E3,-2)</f>
        <v>4600</v>
      </c>
    </row>
    <row r="4" spans="1:9">
      <c r="A4" s="7">
        <v>11</v>
      </c>
      <c r="B4" s="2" t="str">
        <f>VLOOKUP(A4,テーブル!$A$3:$B$6,2,0)</f>
        <v>日新企画</v>
      </c>
      <c r="C4" s="2">
        <v>103</v>
      </c>
      <c r="D4" s="2" t="str">
        <f>VLOOKUP(C4,テーブル!$D$5:$I$12,2,0)</f>
        <v>商品Ｕ</v>
      </c>
      <c r="E4" s="2">
        <v>18</v>
      </c>
      <c r="F4" s="22">
        <f>VLOOKUP(VLOOKUP(C4,テーブル!$D$5:$I$12,3,0),テーブル!$K$4:$M$6,INT(E4/10)+2,1)</f>
        <v>0.6</v>
      </c>
      <c r="G4" s="3">
        <f>ROUNDUP(VLOOKUP(C4,テーブル!$D$5:$I$12,3,0)*E4*F4,-1)</f>
        <v>66750</v>
      </c>
      <c r="H4" s="2" t="s">
        <v>54</v>
      </c>
      <c r="I4" s="39">
        <f>ROUNDDOWN(INDEX(テーブル!$G$5:$I$12,MATCH(C4,テーブル!$D$5:$D$12,0),MATCH(H4,テーブル!$G$4:$I$4,0))*E4,-2)</f>
        <v>4400</v>
      </c>
    </row>
    <row r="5" spans="1:9">
      <c r="A5" s="7">
        <v>11</v>
      </c>
      <c r="B5" s="2" t="str">
        <f>VLOOKUP(A5,テーブル!$A$3:$B$6,2,0)</f>
        <v>日新企画</v>
      </c>
      <c r="C5" s="2">
        <v>104</v>
      </c>
      <c r="D5" s="2" t="str">
        <f>VLOOKUP(C5,テーブル!$D$5:$I$12,2,0)</f>
        <v>商品Ｖ</v>
      </c>
      <c r="E5" s="2">
        <v>8</v>
      </c>
      <c r="F5" s="22">
        <f>VLOOKUP(VLOOKUP(C5,テーブル!$D$5:$I$12,3,0),テーブル!$K$4:$M$6,INT(E5/10)+2,1)</f>
        <v>0.85</v>
      </c>
      <c r="G5" s="3">
        <f>ROUNDUP(VLOOKUP(C5,テーブル!$D$5:$I$12,3,0)*E5*F5,-1)</f>
        <v>39580</v>
      </c>
      <c r="H5" s="2" t="s">
        <v>9</v>
      </c>
      <c r="I5" s="39">
        <f>ROUNDDOWN(INDEX(テーブル!$G$5:$I$12,MATCH(C5,テーブル!$D$5:$D$12,0),MATCH(H5,テーブル!$G$4:$I$4,0))*E5,-2)</f>
        <v>2300</v>
      </c>
    </row>
    <row r="6" spans="1:9">
      <c r="A6" s="7">
        <v>12</v>
      </c>
      <c r="B6" s="2" t="str">
        <f>VLOOKUP(A6,テーブル!$A$3:$B$6,2,0)</f>
        <v>九州商事</v>
      </c>
      <c r="C6" s="2">
        <v>101</v>
      </c>
      <c r="D6" s="2" t="str">
        <f>VLOOKUP(C6,テーブル!$D$5:$I$12,2,0)</f>
        <v>商品Ｓ</v>
      </c>
      <c r="E6" s="2">
        <v>14</v>
      </c>
      <c r="F6" s="22">
        <f>VLOOKUP(VLOOKUP(C6,テーブル!$D$5:$I$12,3,0),テーブル!$K$4:$M$6,INT(E6/10)+2,1)</f>
        <v>0.6</v>
      </c>
      <c r="G6" s="3">
        <f>ROUNDUP(VLOOKUP(C6,テーブル!$D$5:$I$12,3,0)*E6*F6,-1)</f>
        <v>60820</v>
      </c>
      <c r="H6" s="2" t="s">
        <v>10</v>
      </c>
      <c r="I6" s="39">
        <f>ROUNDDOWN(INDEX(テーブル!$G$5:$I$12,MATCH(C6,テーブル!$D$5:$D$12,0),MATCH(H6,テーブル!$G$4:$I$4,0))*E6,-2)</f>
        <v>4000</v>
      </c>
    </row>
    <row r="7" spans="1:9">
      <c r="A7" s="7">
        <v>12</v>
      </c>
      <c r="B7" s="2" t="str">
        <f>VLOOKUP(A7,テーブル!$A$3:$B$6,2,0)</f>
        <v>九州商事</v>
      </c>
      <c r="C7" s="2">
        <v>102</v>
      </c>
      <c r="D7" s="2" t="str">
        <f>VLOOKUP(C7,テーブル!$D$5:$I$12,2,0)</f>
        <v>商品Ｔ</v>
      </c>
      <c r="E7" s="2">
        <v>12</v>
      </c>
      <c r="F7" s="22">
        <f>VLOOKUP(VLOOKUP(C7,テーブル!$D$5:$I$12,3,0),テーブル!$K$4:$M$6,INT(E7/10)+2,1)</f>
        <v>0.6</v>
      </c>
      <c r="G7" s="3">
        <f>ROUNDUP(VLOOKUP(C7,テーブル!$D$5:$I$12,3,0)*E7*F7,-1)</f>
        <v>47450</v>
      </c>
      <c r="H7" s="2" t="s">
        <v>8</v>
      </c>
      <c r="I7" s="39">
        <f>ROUNDDOWN(INDEX(テーブル!$G$5:$I$12,MATCH(C7,テーブル!$D$5:$D$12,0),MATCH(H7,テーブル!$G$4:$I$4,0))*E7,-2)</f>
        <v>5500</v>
      </c>
    </row>
    <row r="8" spans="1:9">
      <c r="A8" s="7">
        <v>12</v>
      </c>
      <c r="B8" s="2" t="str">
        <f>VLOOKUP(A8,テーブル!$A$3:$B$6,2,0)</f>
        <v>九州商事</v>
      </c>
      <c r="C8" s="2">
        <v>103</v>
      </c>
      <c r="D8" s="2" t="str">
        <f>VLOOKUP(C8,テーブル!$D$5:$I$12,2,0)</f>
        <v>商品Ｕ</v>
      </c>
      <c r="E8" s="2">
        <v>8</v>
      </c>
      <c r="F8" s="22">
        <f>VLOOKUP(VLOOKUP(C8,テーブル!$D$5:$I$12,3,0),テーブル!$K$4:$M$6,INT(E8/10)+2,1)</f>
        <v>0.8</v>
      </c>
      <c r="G8" s="3">
        <f>ROUNDUP(VLOOKUP(C8,テーブル!$D$5:$I$12,3,0)*E8*F8,-1)</f>
        <v>39560</v>
      </c>
      <c r="H8" s="2" t="s">
        <v>55</v>
      </c>
      <c r="I8" s="39">
        <f>ROUNDDOWN(INDEX(テーブル!$G$5:$I$12,MATCH(C8,テーブル!$D$5:$D$12,0),MATCH(H8,テーブル!$G$4:$I$4,0))*E8,-2)</f>
        <v>3400</v>
      </c>
    </row>
    <row r="9" spans="1:9">
      <c r="A9" s="7">
        <v>12</v>
      </c>
      <c r="B9" s="2" t="str">
        <f>VLOOKUP(A9,テーブル!$A$3:$B$6,2,0)</f>
        <v>九州商事</v>
      </c>
      <c r="C9" s="2">
        <v>104</v>
      </c>
      <c r="D9" s="2" t="str">
        <f>VLOOKUP(C9,テーブル!$D$5:$I$12,2,0)</f>
        <v>商品Ｖ</v>
      </c>
      <c r="E9" s="2">
        <v>9</v>
      </c>
      <c r="F9" s="22">
        <f>VLOOKUP(VLOOKUP(C9,テーブル!$D$5:$I$12,3,0),テーブル!$K$4:$M$6,INT(E9/10)+2,1)</f>
        <v>0.85</v>
      </c>
      <c r="G9" s="3">
        <f>ROUNDUP(VLOOKUP(C9,テーブル!$D$5:$I$12,3,0)*E9*F9,-1)</f>
        <v>44530</v>
      </c>
      <c r="H9" s="2" t="s">
        <v>10</v>
      </c>
      <c r="I9" s="39">
        <f>ROUNDDOWN(INDEX(テーブル!$G$5:$I$12,MATCH(C9,テーブル!$D$5:$D$12,0),MATCH(H9,テーブル!$G$4:$I$4,0))*E9,-2)</f>
        <v>2000</v>
      </c>
    </row>
    <row r="10" spans="1:9">
      <c r="A10" s="7">
        <v>13</v>
      </c>
      <c r="B10" s="2" t="str">
        <f>VLOOKUP(A10,テーブル!$A$3:$B$6,2,0)</f>
        <v>青木総業</v>
      </c>
      <c r="C10" s="2">
        <v>101</v>
      </c>
      <c r="D10" s="2" t="str">
        <f>VLOOKUP(C10,テーブル!$D$5:$I$12,2,0)</f>
        <v>商品Ｓ</v>
      </c>
      <c r="E10" s="2">
        <v>12</v>
      </c>
      <c r="F10" s="22">
        <f>VLOOKUP(VLOOKUP(C10,テーブル!$D$5:$I$12,3,0),テーブル!$K$4:$M$6,INT(E10/10)+2,1)</f>
        <v>0.6</v>
      </c>
      <c r="G10" s="3">
        <f>ROUNDUP(VLOOKUP(C10,テーブル!$D$5:$I$12,3,0)*E10*F10,-1)</f>
        <v>52130</v>
      </c>
      <c r="H10" s="2" t="s">
        <v>9</v>
      </c>
      <c r="I10" s="39">
        <f>ROUNDDOWN(INDEX(テーブル!$G$5:$I$12,MATCH(C10,テーブル!$D$5:$D$12,0),MATCH(H10,テーブル!$G$4:$I$4,0))*E10,-2)</f>
        <v>4300</v>
      </c>
    </row>
    <row r="11" spans="1:9">
      <c r="A11" s="7">
        <v>13</v>
      </c>
      <c r="B11" s="2" t="str">
        <f>VLOOKUP(A11,テーブル!$A$3:$B$6,2,0)</f>
        <v>青木総業</v>
      </c>
      <c r="C11" s="2">
        <v>102</v>
      </c>
      <c r="D11" s="2" t="str">
        <f>VLOOKUP(C11,テーブル!$D$5:$I$12,2,0)</f>
        <v>商品Ｔ</v>
      </c>
      <c r="E11" s="2">
        <v>9</v>
      </c>
      <c r="F11" s="22">
        <f>VLOOKUP(VLOOKUP(C11,テーブル!$D$5:$I$12,3,0),テーブル!$K$4:$M$6,INT(E11/10)+2,1)</f>
        <v>0.8</v>
      </c>
      <c r="G11" s="3">
        <f>ROUNDUP(VLOOKUP(C11,テーブル!$D$5:$I$12,3,0)*E11*F11,-1)</f>
        <v>47450</v>
      </c>
      <c r="H11" s="2" t="s">
        <v>10</v>
      </c>
      <c r="I11" s="39">
        <f>ROUNDDOWN(INDEX(テーブル!$G$5:$I$12,MATCH(C11,テーブル!$D$5:$D$12,0),MATCH(H11,テーブル!$G$4:$I$4,0))*E11,-2)</f>
        <v>2300</v>
      </c>
    </row>
    <row r="12" spans="1:9">
      <c r="A12" s="7">
        <v>13</v>
      </c>
      <c r="B12" s="2" t="str">
        <f>VLOOKUP(A12,テーブル!$A$3:$B$6,2,0)</f>
        <v>青木総業</v>
      </c>
      <c r="C12" s="2">
        <v>103</v>
      </c>
      <c r="D12" s="2" t="str">
        <f>VLOOKUP(C12,テーブル!$D$5:$I$12,2,0)</f>
        <v>商品Ｕ</v>
      </c>
      <c r="E12" s="2">
        <v>8</v>
      </c>
      <c r="F12" s="22">
        <f>VLOOKUP(VLOOKUP(C12,テーブル!$D$5:$I$12,3,0),テーブル!$K$4:$M$6,INT(E12/10)+2,1)</f>
        <v>0.8</v>
      </c>
      <c r="G12" s="3">
        <f>ROUNDUP(VLOOKUP(C12,テーブル!$D$5:$I$12,3,0)*E12*F12,-1)</f>
        <v>39560</v>
      </c>
      <c r="H12" s="2" t="s">
        <v>8</v>
      </c>
      <c r="I12" s="39">
        <f>ROUNDDOWN(INDEX(テーブル!$G$5:$I$12,MATCH(C12,テーブル!$D$5:$D$12,0),MATCH(H12,テーブル!$G$4:$I$4,0))*E12,-2)</f>
        <v>3400</v>
      </c>
    </row>
    <row r="13" spans="1:9">
      <c r="A13" s="7">
        <v>13</v>
      </c>
      <c r="B13" s="2" t="str">
        <f>VLOOKUP(A13,テーブル!$A$3:$B$6,2,0)</f>
        <v>青木総業</v>
      </c>
      <c r="C13" s="2">
        <v>104</v>
      </c>
      <c r="D13" s="2" t="str">
        <f>VLOOKUP(C13,テーブル!$D$5:$I$12,2,0)</f>
        <v>商品Ｖ</v>
      </c>
      <c r="E13" s="2">
        <v>15</v>
      </c>
      <c r="F13" s="22">
        <f>VLOOKUP(VLOOKUP(C13,テーブル!$D$5:$I$12,3,0),テーブル!$K$4:$M$6,INT(E13/10)+2,1)</f>
        <v>0.65</v>
      </c>
      <c r="G13" s="3">
        <f>ROUNDUP(VLOOKUP(C13,テーブル!$D$5:$I$12,3,0)*E13*F13,-1)</f>
        <v>56750</v>
      </c>
      <c r="H13" s="2" t="s">
        <v>53</v>
      </c>
      <c r="I13" s="39">
        <f>ROUNDDOWN(INDEX(テーブル!$G$5:$I$12,MATCH(C13,テーブル!$D$5:$D$12,0),MATCH(H13,テーブル!$G$4:$I$4,0))*E13,-2)</f>
        <v>4300</v>
      </c>
    </row>
    <row r="14" spans="1:9">
      <c r="A14" s="7">
        <v>14</v>
      </c>
      <c r="B14" s="2" t="str">
        <f>VLOOKUP(A14,テーブル!$A$3:$B$6,2,0)</f>
        <v>ＢＳ物産</v>
      </c>
      <c r="C14" s="2">
        <v>101</v>
      </c>
      <c r="D14" s="2" t="str">
        <f>VLOOKUP(C14,テーブル!$D$5:$I$12,2,0)</f>
        <v>商品Ｓ</v>
      </c>
      <c r="E14" s="2">
        <v>7</v>
      </c>
      <c r="F14" s="22">
        <f>VLOOKUP(VLOOKUP(C14,テーブル!$D$5:$I$12,3,0),テーブル!$K$4:$M$6,INT(E14/10)+2,1)</f>
        <v>0.8</v>
      </c>
      <c r="G14" s="3">
        <f>ROUNDUP(VLOOKUP(C14,テーブル!$D$5:$I$12,3,0)*E14*F14,-1)</f>
        <v>40550</v>
      </c>
      <c r="H14" s="2" t="s">
        <v>9</v>
      </c>
      <c r="I14" s="39">
        <f>ROUNDDOWN(INDEX(テーブル!$G$5:$I$12,MATCH(C14,テーブル!$D$5:$D$12,0),MATCH(H14,テーブル!$G$4:$I$4,0))*E14,-2)</f>
        <v>2500</v>
      </c>
    </row>
    <row r="15" spans="1:9">
      <c r="A15" s="7">
        <v>14</v>
      </c>
      <c r="B15" s="2" t="str">
        <f>VLOOKUP(A15,テーブル!$A$3:$B$6,2,0)</f>
        <v>ＢＳ物産</v>
      </c>
      <c r="C15" s="2">
        <v>102</v>
      </c>
      <c r="D15" s="2" t="str">
        <f>VLOOKUP(C15,テーブル!$D$5:$I$12,2,0)</f>
        <v>商品Ｔ</v>
      </c>
      <c r="E15" s="2">
        <v>12</v>
      </c>
      <c r="F15" s="22">
        <f>VLOOKUP(VLOOKUP(C15,テーブル!$D$5:$I$12,3,0),テーブル!$K$4:$M$6,INT(E15/10)+2,1)</f>
        <v>0.6</v>
      </c>
      <c r="G15" s="3">
        <f>ROUNDUP(VLOOKUP(C15,テーブル!$D$5:$I$12,3,0)*E15*F15,-1)</f>
        <v>47450</v>
      </c>
      <c r="H15" s="2" t="s">
        <v>8</v>
      </c>
      <c r="I15" s="39">
        <f>ROUNDDOWN(INDEX(テーブル!$G$5:$I$12,MATCH(C15,テーブル!$D$5:$D$12,0),MATCH(H15,テーブル!$G$4:$I$4,0))*E15,-2)</f>
        <v>5500</v>
      </c>
    </row>
    <row r="16" spans="1:9">
      <c r="A16" s="7">
        <v>14</v>
      </c>
      <c r="B16" s="2" t="str">
        <f>VLOOKUP(A16,テーブル!$A$3:$B$6,2,0)</f>
        <v>ＢＳ物産</v>
      </c>
      <c r="C16" s="2">
        <v>103</v>
      </c>
      <c r="D16" s="2" t="str">
        <f>VLOOKUP(C16,テーブル!$D$5:$I$12,2,0)</f>
        <v>商品Ｕ</v>
      </c>
      <c r="E16" s="2">
        <v>16</v>
      </c>
      <c r="F16" s="22">
        <f>VLOOKUP(VLOOKUP(C16,テーブル!$D$5:$I$12,3,0),テーブル!$K$4:$M$6,INT(E16/10)+2,1)</f>
        <v>0.6</v>
      </c>
      <c r="G16" s="3">
        <f>ROUNDUP(VLOOKUP(C16,テーブル!$D$5:$I$12,3,0)*E16*F16,-1)</f>
        <v>59330</v>
      </c>
      <c r="H16" s="2" t="s">
        <v>10</v>
      </c>
      <c r="I16" s="39">
        <f>ROUNDDOWN(INDEX(テーブル!$G$5:$I$12,MATCH(C16,テーブル!$D$5:$D$12,0),MATCH(H16,テーブル!$G$4:$I$4,0))*E16,-2)</f>
        <v>3900</v>
      </c>
    </row>
    <row r="17" spans="1:9">
      <c r="A17" s="7">
        <v>14</v>
      </c>
      <c r="B17" s="2" t="str">
        <f>VLOOKUP(A17,テーブル!$A$3:$B$6,2,0)</f>
        <v>ＢＳ物産</v>
      </c>
      <c r="C17" s="2">
        <v>104</v>
      </c>
      <c r="D17" s="2" t="str">
        <f>VLOOKUP(C17,テーブル!$D$5:$I$12,2,0)</f>
        <v>商品Ｖ</v>
      </c>
      <c r="E17" s="2">
        <v>8</v>
      </c>
      <c r="F17" s="22">
        <f>VLOOKUP(VLOOKUP(C17,テーブル!$D$5:$I$12,3,0),テーブル!$K$4:$M$6,INT(E17/10)+2,1)</f>
        <v>0.85</v>
      </c>
      <c r="G17" s="3">
        <f>ROUNDUP(VLOOKUP(C17,テーブル!$D$5:$I$12,3,0)*E17*F17,-1)</f>
        <v>39580</v>
      </c>
      <c r="H17" s="2" t="s">
        <v>9</v>
      </c>
      <c r="I17" s="39">
        <f>ROUNDDOWN(INDEX(テーブル!$G$5:$I$12,MATCH(C17,テーブル!$D$5:$D$12,0),MATCH(H17,テーブル!$G$4:$I$4,0))*E17,-2)</f>
        <v>2300</v>
      </c>
    </row>
    <row r="18" spans="1:9">
      <c r="A18" s="7">
        <v>11</v>
      </c>
      <c r="B18" s="2" t="str">
        <f>VLOOKUP(A18,テーブル!$A$3:$B$6,2,0)</f>
        <v>日新企画</v>
      </c>
      <c r="C18" s="2">
        <v>105</v>
      </c>
      <c r="D18" s="2" t="str">
        <f>VLOOKUP(C18,テーブル!$D$5:$I$12,2,0)</f>
        <v>商品Ｗ</v>
      </c>
      <c r="E18" s="2">
        <v>11</v>
      </c>
      <c r="F18" s="22">
        <f>VLOOKUP(VLOOKUP(C18,テーブル!$D$5:$I$12,3,0),テーブル!$K$4:$M$6,INT(E18/10)+2,1)</f>
        <v>0.65</v>
      </c>
      <c r="G18" s="3">
        <f>ROUNDUP(VLOOKUP(C18,テーブル!$D$5:$I$12,3,0)*E18*F18,-1)</f>
        <v>37470</v>
      </c>
      <c r="H18" s="2" t="s">
        <v>55</v>
      </c>
      <c r="I18" s="39">
        <f>ROUNDDOWN(INDEX(テーブル!$G$5:$I$12,MATCH(C18,テーブル!$D$5:$D$12,0),MATCH(H18,テーブル!$G$4:$I$4,0))*E18,-2)</f>
        <v>4000</v>
      </c>
    </row>
    <row r="19" spans="1:9">
      <c r="A19" s="7">
        <v>11</v>
      </c>
      <c r="B19" s="2" t="str">
        <f>VLOOKUP(A19,テーブル!$A$3:$B$6,2,0)</f>
        <v>日新企画</v>
      </c>
      <c r="C19" s="2">
        <v>106</v>
      </c>
      <c r="D19" s="2" t="str">
        <f>VLOOKUP(C19,テーブル!$D$5:$I$12,2,0)</f>
        <v>商品Ｘ</v>
      </c>
      <c r="E19" s="2">
        <v>14</v>
      </c>
      <c r="F19" s="22">
        <f>VLOOKUP(VLOOKUP(C19,テーブル!$D$5:$I$12,3,0),テーブル!$K$4:$M$6,INT(E19/10)+2,1)</f>
        <v>0.7</v>
      </c>
      <c r="G19" s="3">
        <f>ROUNDUP(VLOOKUP(C19,テーブル!$D$5:$I$12,3,0)*E19*F19,-1)</f>
        <v>48810</v>
      </c>
      <c r="H19" s="2" t="s">
        <v>53</v>
      </c>
      <c r="I19" s="39">
        <f>ROUNDDOWN(INDEX(テーブル!$G$5:$I$12,MATCH(C19,テーブル!$D$5:$D$12,0),MATCH(H19,テーブル!$G$4:$I$4,0))*E19,-2)</f>
        <v>3400</v>
      </c>
    </row>
    <row r="20" spans="1:9">
      <c r="A20" s="7">
        <v>11</v>
      </c>
      <c r="B20" s="2" t="str">
        <f>VLOOKUP(A20,テーブル!$A$3:$B$6,2,0)</f>
        <v>日新企画</v>
      </c>
      <c r="C20" s="2">
        <v>107</v>
      </c>
      <c r="D20" s="2" t="str">
        <f>VLOOKUP(C20,テーブル!$D$5:$I$12,2,0)</f>
        <v>商品Ｙ</v>
      </c>
      <c r="E20" s="2">
        <v>9</v>
      </c>
      <c r="F20" s="22">
        <f>VLOOKUP(VLOOKUP(C20,テーブル!$D$5:$I$12,3,0),テーブル!$K$4:$M$6,INT(E20/10)+2,1)</f>
        <v>1</v>
      </c>
      <c r="G20" s="3">
        <f>ROUNDUP(VLOOKUP(C20,テーブル!$D$5:$I$12,3,0)*E20*F20,-1)</f>
        <v>40590</v>
      </c>
      <c r="H20" s="2" t="s">
        <v>54</v>
      </c>
      <c r="I20" s="39">
        <f>ROUNDDOWN(INDEX(テーブル!$G$5:$I$12,MATCH(C20,テーブル!$D$5:$D$12,0),MATCH(H20,テーブル!$G$4:$I$4,0))*E20,-2)</f>
        <v>1600</v>
      </c>
    </row>
    <row r="21" spans="1:9">
      <c r="A21" s="7">
        <v>11</v>
      </c>
      <c r="B21" s="2" t="str">
        <f>VLOOKUP(A21,テーブル!$A$3:$B$6,2,0)</f>
        <v>日新企画</v>
      </c>
      <c r="C21" s="2">
        <v>108</v>
      </c>
      <c r="D21" s="2" t="str">
        <f>VLOOKUP(C21,テーブル!$D$5:$I$12,2,0)</f>
        <v>商品Ｚ</v>
      </c>
      <c r="E21" s="2">
        <v>10</v>
      </c>
      <c r="F21" s="22">
        <f>VLOOKUP(VLOOKUP(C21,テーブル!$D$5:$I$12,3,0),テーブル!$K$4:$M$6,INT(E21/10)+2,1)</f>
        <v>0.7</v>
      </c>
      <c r="G21" s="3">
        <f>ROUNDUP(VLOOKUP(C21,テーブル!$D$5:$I$12,3,0)*E21*F21,-1)</f>
        <v>27090</v>
      </c>
      <c r="H21" s="2" t="s">
        <v>9</v>
      </c>
      <c r="I21" s="39">
        <f>ROUNDDOWN(INDEX(テーブル!$G$5:$I$12,MATCH(C21,テーブル!$D$5:$D$12,0),MATCH(H21,テーブル!$G$4:$I$4,0))*E21,-2)</f>
        <v>1900</v>
      </c>
    </row>
    <row r="22" spans="1:9">
      <c r="A22" s="7">
        <v>12</v>
      </c>
      <c r="B22" s="2" t="str">
        <f>VLOOKUP(A22,テーブル!$A$3:$B$6,2,0)</f>
        <v>九州商事</v>
      </c>
      <c r="C22" s="2">
        <v>105</v>
      </c>
      <c r="D22" s="2" t="str">
        <f>VLOOKUP(C22,テーブル!$D$5:$I$12,2,0)</f>
        <v>商品Ｗ</v>
      </c>
      <c r="E22" s="2">
        <v>9</v>
      </c>
      <c r="F22" s="22">
        <f>VLOOKUP(VLOOKUP(C22,テーブル!$D$5:$I$12,3,0),テーブル!$K$4:$M$6,INT(E22/10)+2,1)</f>
        <v>0.85</v>
      </c>
      <c r="G22" s="3">
        <f>ROUNDUP(VLOOKUP(C22,テーブル!$D$5:$I$12,3,0)*E22*F22,-1)</f>
        <v>40090</v>
      </c>
      <c r="H22" s="2" t="s">
        <v>10</v>
      </c>
      <c r="I22" s="39">
        <f>ROUNDDOWN(INDEX(テーブル!$G$5:$I$12,MATCH(C22,テーブル!$D$5:$D$12,0),MATCH(H22,テーブル!$G$4:$I$4,0))*E22,-2)</f>
        <v>1800</v>
      </c>
    </row>
    <row r="23" spans="1:9">
      <c r="A23" s="7">
        <v>12</v>
      </c>
      <c r="B23" s="2" t="str">
        <f>VLOOKUP(A23,テーブル!$A$3:$B$6,2,0)</f>
        <v>九州商事</v>
      </c>
      <c r="C23" s="2">
        <v>106</v>
      </c>
      <c r="D23" s="2" t="str">
        <f>VLOOKUP(C23,テーブル!$D$5:$I$12,2,0)</f>
        <v>商品Ｘ</v>
      </c>
      <c r="E23" s="2">
        <v>11</v>
      </c>
      <c r="F23" s="22">
        <f>VLOOKUP(VLOOKUP(C23,テーブル!$D$5:$I$12,3,0),テーブル!$K$4:$M$6,INT(E23/10)+2,1)</f>
        <v>0.7</v>
      </c>
      <c r="G23" s="3">
        <f>ROUNDUP(VLOOKUP(C23,テーブル!$D$5:$I$12,3,0)*E23*F23,-1)</f>
        <v>38350</v>
      </c>
      <c r="H23" s="2" t="s">
        <v>8</v>
      </c>
      <c r="I23" s="39">
        <f>ROUNDDOWN(INDEX(テーブル!$G$5:$I$12,MATCH(C23,テーブル!$D$5:$D$12,0),MATCH(H23,テーブル!$G$4:$I$4,0))*E23,-2)</f>
        <v>3800</v>
      </c>
    </row>
    <row r="24" spans="1:9">
      <c r="A24" s="7">
        <v>12</v>
      </c>
      <c r="B24" s="2" t="str">
        <f>VLOOKUP(A24,テーブル!$A$3:$B$6,2,0)</f>
        <v>九州商事</v>
      </c>
      <c r="C24" s="2">
        <v>107</v>
      </c>
      <c r="D24" s="2" t="str">
        <f>VLOOKUP(C24,テーブル!$D$5:$I$12,2,0)</f>
        <v>商品Ｙ</v>
      </c>
      <c r="E24" s="2">
        <v>10</v>
      </c>
      <c r="F24" s="22">
        <f>VLOOKUP(VLOOKUP(C24,テーブル!$D$5:$I$12,3,0),テーブル!$K$4:$M$6,INT(E24/10)+2,1)</f>
        <v>0.7</v>
      </c>
      <c r="G24" s="3">
        <f>ROUNDUP(VLOOKUP(C24,テーブル!$D$5:$I$12,3,0)*E24*F24,-1)</f>
        <v>31570</v>
      </c>
      <c r="H24" s="2" t="s">
        <v>54</v>
      </c>
      <c r="I24" s="39">
        <f>ROUNDDOWN(INDEX(テーブル!$G$5:$I$12,MATCH(C24,テーブル!$D$5:$D$12,0),MATCH(H24,テーブル!$G$4:$I$4,0))*E24,-2)</f>
        <v>1800</v>
      </c>
    </row>
    <row r="25" spans="1:9">
      <c r="A25" s="7">
        <v>12</v>
      </c>
      <c r="B25" s="2" t="str">
        <f>VLOOKUP(A25,テーブル!$A$3:$B$6,2,0)</f>
        <v>九州商事</v>
      </c>
      <c r="C25" s="2">
        <v>108</v>
      </c>
      <c r="D25" s="2" t="str">
        <f>VLOOKUP(C25,テーブル!$D$5:$I$12,2,0)</f>
        <v>商品Ｚ</v>
      </c>
      <c r="E25" s="2">
        <v>14</v>
      </c>
      <c r="F25" s="22">
        <f>VLOOKUP(VLOOKUP(C25,テーブル!$D$5:$I$12,3,0),テーブル!$K$4:$M$6,INT(E25/10)+2,1)</f>
        <v>0.7</v>
      </c>
      <c r="G25" s="3">
        <f>ROUNDUP(VLOOKUP(C25,テーブル!$D$5:$I$12,3,0)*E25*F25,-1)</f>
        <v>37930</v>
      </c>
      <c r="H25" s="2" t="s">
        <v>53</v>
      </c>
      <c r="I25" s="39">
        <f>ROUNDDOWN(INDEX(テーブル!$G$5:$I$12,MATCH(C25,テーブル!$D$5:$D$12,0),MATCH(H25,テーブル!$G$4:$I$4,0))*E25,-2)</f>
        <v>2700</v>
      </c>
    </row>
    <row r="26" spans="1:9">
      <c r="A26" s="7">
        <v>13</v>
      </c>
      <c r="B26" s="2" t="str">
        <f>VLOOKUP(A26,テーブル!$A$3:$B$6,2,0)</f>
        <v>青木総業</v>
      </c>
      <c r="C26" s="2">
        <v>105</v>
      </c>
      <c r="D26" s="2" t="str">
        <f>VLOOKUP(C26,テーブル!$D$5:$I$12,2,0)</f>
        <v>商品Ｗ</v>
      </c>
      <c r="E26" s="2">
        <v>12</v>
      </c>
      <c r="F26" s="22">
        <f>VLOOKUP(VLOOKUP(C26,テーブル!$D$5:$I$12,3,0),テーブル!$K$4:$M$6,INT(E26/10)+2,1)</f>
        <v>0.65</v>
      </c>
      <c r="G26" s="3">
        <f>ROUNDUP(VLOOKUP(C26,テーブル!$D$5:$I$12,3,0)*E26*F26,-1)</f>
        <v>40880</v>
      </c>
      <c r="H26" s="2" t="s">
        <v>55</v>
      </c>
      <c r="I26" s="39">
        <f>ROUNDDOWN(INDEX(テーブル!$G$5:$I$12,MATCH(C26,テーブル!$D$5:$D$12,0),MATCH(H26,テーブル!$G$4:$I$4,0))*E26,-2)</f>
        <v>4300</v>
      </c>
    </row>
    <row r="27" spans="1:9">
      <c r="A27" s="7">
        <v>13</v>
      </c>
      <c r="B27" s="2" t="str">
        <f>VLOOKUP(A27,テーブル!$A$3:$B$6,2,0)</f>
        <v>青木総業</v>
      </c>
      <c r="C27" s="2">
        <v>106</v>
      </c>
      <c r="D27" s="2" t="str">
        <f>VLOOKUP(C27,テーブル!$D$5:$I$12,2,0)</f>
        <v>商品Ｘ</v>
      </c>
      <c r="E27" s="2">
        <v>15</v>
      </c>
      <c r="F27" s="22">
        <f>VLOOKUP(VLOOKUP(C27,テーブル!$D$5:$I$12,3,0),テーブル!$K$4:$M$6,INT(E27/10)+2,1)</f>
        <v>0.7</v>
      </c>
      <c r="G27" s="3">
        <f>ROUNDUP(VLOOKUP(C27,テーブル!$D$5:$I$12,3,0)*E27*F27,-1)</f>
        <v>52290</v>
      </c>
      <c r="H27" s="2" t="s">
        <v>10</v>
      </c>
      <c r="I27" s="39">
        <f>ROUNDDOWN(INDEX(テーブル!$G$5:$I$12,MATCH(C27,テーブル!$D$5:$D$12,0),MATCH(H27,テーブル!$G$4:$I$4,0))*E27,-2)</f>
        <v>2900</v>
      </c>
    </row>
    <row r="28" spans="1:9">
      <c r="A28" s="7">
        <v>13</v>
      </c>
      <c r="B28" s="2" t="str">
        <f>VLOOKUP(A28,テーブル!$A$3:$B$6,2,0)</f>
        <v>青木総業</v>
      </c>
      <c r="C28" s="2">
        <v>107</v>
      </c>
      <c r="D28" s="2" t="str">
        <f>VLOOKUP(C28,テーブル!$D$5:$I$12,2,0)</f>
        <v>商品Ｙ</v>
      </c>
      <c r="E28" s="2">
        <v>8</v>
      </c>
      <c r="F28" s="22">
        <f>VLOOKUP(VLOOKUP(C28,テーブル!$D$5:$I$12,3,0),テーブル!$K$4:$M$6,INT(E28/10)+2,1)</f>
        <v>1</v>
      </c>
      <c r="G28" s="3">
        <f>ROUNDUP(VLOOKUP(C28,テーブル!$D$5:$I$12,3,0)*E28*F28,-1)</f>
        <v>36080</v>
      </c>
      <c r="H28" s="2" t="s">
        <v>8</v>
      </c>
      <c r="I28" s="39">
        <f>ROUNDDOWN(INDEX(テーブル!$G$5:$I$12,MATCH(C28,テーブル!$D$5:$D$12,0),MATCH(H28,テーブル!$G$4:$I$4,0))*E28,-2)</f>
        <v>2500</v>
      </c>
    </row>
    <row r="29" spans="1:9">
      <c r="A29" s="7">
        <v>13</v>
      </c>
      <c r="B29" s="2" t="str">
        <f>VLOOKUP(A29,テーブル!$A$3:$B$6,2,0)</f>
        <v>青木総業</v>
      </c>
      <c r="C29" s="2">
        <v>108</v>
      </c>
      <c r="D29" s="2" t="str">
        <f>VLOOKUP(C29,テーブル!$D$5:$I$12,2,0)</f>
        <v>商品Ｚ</v>
      </c>
      <c r="E29" s="2">
        <v>9</v>
      </c>
      <c r="F29" s="22">
        <f>VLOOKUP(VLOOKUP(C29,テーブル!$D$5:$I$12,3,0),テーブル!$K$4:$M$6,INT(E29/10)+2,1)</f>
        <v>1</v>
      </c>
      <c r="G29" s="3">
        <f>ROUNDUP(VLOOKUP(C29,テーブル!$D$5:$I$12,3,0)*E29*F29,-1)</f>
        <v>34830</v>
      </c>
      <c r="H29" s="2" t="s">
        <v>10</v>
      </c>
      <c r="I29" s="39">
        <f>ROUNDDOWN(INDEX(テーブル!$G$5:$I$12,MATCH(C29,テーブル!$D$5:$D$12,0),MATCH(H29,テーブル!$G$4:$I$4,0))*E29,-2)</f>
        <v>1300</v>
      </c>
    </row>
    <row r="30" spans="1:9">
      <c r="A30" s="7">
        <v>14</v>
      </c>
      <c r="B30" s="2" t="str">
        <f>VLOOKUP(A30,テーブル!$A$3:$B$6,2,0)</f>
        <v>ＢＳ物産</v>
      </c>
      <c r="C30" s="2">
        <v>105</v>
      </c>
      <c r="D30" s="2" t="str">
        <f>VLOOKUP(C30,テーブル!$D$5:$I$12,2,0)</f>
        <v>商品Ｗ</v>
      </c>
      <c r="E30" s="2">
        <v>13</v>
      </c>
      <c r="F30" s="22">
        <f>VLOOKUP(VLOOKUP(C30,テーブル!$D$5:$I$12,3,0),テーブル!$K$4:$M$6,INT(E30/10)+2,1)</f>
        <v>0.65</v>
      </c>
      <c r="G30" s="3">
        <f>ROUNDUP(VLOOKUP(C30,テーブル!$D$5:$I$12,3,0)*E30*F30,-1)</f>
        <v>44280</v>
      </c>
      <c r="H30" s="2" t="s">
        <v>55</v>
      </c>
      <c r="I30" s="39">
        <f>ROUNDDOWN(INDEX(テーブル!$G$5:$I$12,MATCH(C30,テーブル!$D$5:$D$12,0),MATCH(H30,テーブル!$G$4:$I$4,0))*E30,-2)</f>
        <v>4700</v>
      </c>
    </row>
    <row r="31" spans="1:9">
      <c r="A31" s="7">
        <v>14</v>
      </c>
      <c r="B31" s="2" t="str">
        <f>VLOOKUP(A31,テーブル!$A$3:$B$6,2,0)</f>
        <v>ＢＳ物産</v>
      </c>
      <c r="C31" s="2">
        <v>106</v>
      </c>
      <c r="D31" s="2" t="str">
        <f>VLOOKUP(C31,テーブル!$D$5:$I$12,2,0)</f>
        <v>商品Ｘ</v>
      </c>
      <c r="E31" s="2">
        <v>9</v>
      </c>
      <c r="F31" s="22">
        <f>VLOOKUP(VLOOKUP(C31,テーブル!$D$5:$I$12,3,0),テーブル!$K$4:$M$6,INT(E31/10)+2,1)</f>
        <v>1</v>
      </c>
      <c r="G31" s="3">
        <f>ROUNDUP(VLOOKUP(C31,テーブル!$D$5:$I$12,3,0)*E31*F31,-1)</f>
        <v>44820</v>
      </c>
      <c r="H31" s="2" t="s">
        <v>53</v>
      </c>
      <c r="I31" s="39">
        <f>ROUNDDOWN(INDEX(テーブル!$G$5:$I$12,MATCH(C31,テーブル!$D$5:$D$12,0),MATCH(H31,テーブル!$G$4:$I$4,0))*E31,-2)</f>
        <v>2200</v>
      </c>
    </row>
    <row r="32" spans="1:9">
      <c r="A32" s="7">
        <v>14</v>
      </c>
      <c r="B32" s="2" t="str">
        <f>VLOOKUP(A32,テーブル!$A$3:$B$6,2,0)</f>
        <v>ＢＳ物産</v>
      </c>
      <c r="C32" s="2">
        <v>107</v>
      </c>
      <c r="D32" s="2" t="str">
        <f>VLOOKUP(C32,テーブル!$D$5:$I$12,2,0)</f>
        <v>商品Ｙ</v>
      </c>
      <c r="E32" s="2">
        <v>14</v>
      </c>
      <c r="F32" s="22">
        <f>VLOOKUP(VLOOKUP(C32,テーブル!$D$5:$I$12,3,0),テーブル!$K$4:$M$6,INT(E32/10)+2,1)</f>
        <v>0.7</v>
      </c>
      <c r="G32" s="3">
        <f>ROUNDUP(VLOOKUP(C32,テーブル!$D$5:$I$12,3,0)*E32*F32,-1)</f>
        <v>44200</v>
      </c>
      <c r="H32" s="2" t="s">
        <v>10</v>
      </c>
      <c r="I32" s="39">
        <f>ROUNDDOWN(INDEX(テーブル!$G$5:$I$12,MATCH(C32,テーブル!$D$5:$D$12,0),MATCH(H32,テーブル!$G$4:$I$4,0))*E32,-2)</f>
        <v>2500</v>
      </c>
    </row>
    <row r="33" spans="1:10">
      <c r="A33" s="7">
        <v>14</v>
      </c>
      <c r="B33" s="2" t="str">
        <f>VLOOKUP(A33,テーブル!$A$3:$B$6,2,0)</f>
        <v>ＢＳ物産</v>
      </c>
      <c r="C33" s="2">
        <v>108</v>
      </c>
      <c r="D33" s="2" t="str">
        <f>VLOOKUP(C33,テーブル!$D$5:$I$12,2,0)</f>
        <v>商品Ｚ</v>
      </c>
      <c r="E33" s="2">
        <v>11</v>
      </c>
      <c r="F33" s="22">
        <f>VLOOKUP(VLOOKUP(C33,テーブル!$D$5:$I$12,3,0),テーブル!$K$4:$M$6,INT(E33/10)+2,1)</f>
        <v>0.7</v>
      </c>
      <c r="G33" s="3">
        <f>ROUNDUP(VLOOKUP(C33,テーブル!$D$5:$I$12,3,0)*E33*F33,-1)</f>
        <v>29800</v>
      </c>
      <c r="H33" s="2" t="s">
        <v>55</v>
      </c>
      <c r="I33" s="39">
        <f>ROUNDDOWN(INDEX(テーブル!$G$5:$I$12,MATCH(C33,テーブル!$D$5:$D$12,0),MATCH(H33,テーブル!$G$4:$I$4,0))*E33,-2)</f>
        <v>2900</v>
      </c>
    </row>
    <row r="34" spans="1:10">
      <c r="A34" s="7"/>
      <c r="B34" s="2"/>
      <c r="C34" s="2"/>
      <c r="D34" s="2"/>
      <c r="E34" s="2"/>
      <c r="F34" s="2"/>
      <c r="G34" s="2"/>
      <c r="H34" s="2"/>
      <c r="I34" s="8"/>
    </row>
    <row r="35" spans="1:10" ht="14.25" thickBot="1">
      <c r="A35" s="9"/>
      <c r="B35" s="23" t="s">
        <v>3</v>
      </c>
      <c r="C35" s="11"/>
      <c r="D35" s="11"/>
      <c r="E35" s="11">
        <f>SUM(E2:E33)</f>
        <v>358</v>
      </c>
      <c r="F35" s="11"/>
      <c r="G35" s="24">
        <f>SUM(G2:G33)</f>
        <v>1406590</v>
      </c>
      <c r="H35" s="24"/>
      <c r="I35" s="40">
        <f>SUM(I2:I33)</f>
        <v>103700</v>
      </c>
      <c r="J35" s="34"/>
    </row>
    <row r="36" spans="1:10">
      <c r="G36" s="20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4"/>
  <sheetViews>
    <sheetView workbookViewId="0">
      <selection sqref="A1:F1"/>
    </sheetView>
  </sheetViews>
  <sheetFormatPr defaultRowHeight="13.5"/>
  <cols>
    <col min="1" max="2" width="9.5" bestFit="1" customWidth="1"/>
    <col min="3" max="3" width="10.5" bestFit="1" customWidth="1"/>
    <col min="4" max="4" width="9.5" bestFit="1" customWidth="1"/>
    <col min="5" max="5" width="10.5" bestFit="1" customWidth="1"/>
    <col min="6" max="6" width="5.5" bestFit="1" customWidth="1"/>
    <col min="7" max="7" width="5.5" customWidth="1"/>
    <col min="8" max="8" width="7.5" bestFit="1" customWidth="1"/>
    <col min="9" max="9" width="5.5" bestFit="1" customWidth="1"/>
    <col min="10" max="12" width="9.5" bestFit="1" customWidth="1"/>
    <col min="13" max="13" width="9.5" customWidth="1"/>
    <col min="14" max="14" width="4.375" customWidth="1"/>
    <col min="15" max="15" width="48.25" bestFit="1" customWidth="1"/>
    <col min="16" max="16" width="11.625" bestFit="1" customWidth="1"/>
    <col min="17" max="18" width="9.5" bestFit="1" customWidth="1"/>
    <col min="19" max="26" width="9" customWidth="1"/>
  </cols>
  <sheetData>
    <row r="1" spans="1:18" ht="14.25" thickBot="1">
      <c r="A1" s="52" t="s">
        <v>26</v>
      </c>
      <c r="B1" s="52"/>
      <c r="C1" s="52"/>
      <c r="D1" s="52"/>
      <c r="E1" s="52"/>
      <c r="F1" s="52"/>
      <c r="G1" s="14"/>
      <c r="H1" s="53" t="s">
        <v>11</v>
      </c>
      <c r="I1" s="53"/>
      <c r="J1" s="53"/>
      <c r="K1" s="53"/>
      <c r="L1" s="53"/>
      <c r="M1" s="53"/>
    </row>
    <row r="2" spans="1:18">
      <c r="A2" s="4" t="s">
        <v>5</v>
      </c>
      <c r="B2" s="5" t="s">
        <v>12</v>
      </c>
      <c r="C2" s="5" t="s">
        <v>17</v>
      </c>
      <c r="D2" s="5" t="s">
        <v>6</v>
      </c>
      <c r="E2" s="5" t="s">
        <v>7</v>
      </c>
      <c r="F2" s="6" t="s">
        <v>18</v>
      </c>
      <c r="G2" s="14"/>
      <c r="H2" s="4" t="s">
        <v>1</v>
      </c>
      <c r="I2" s="5" t="s">
        <v>12</v>
      </c>
      <c r="J2" s="5" t="s">
        <v>14</v>
      </c>
      <c r="K2" s="5" t="s">
        <v>16</v>
      </c>
      <c r="L2" s="36" t="s">
        <v>17</v>
      </c>
      <c r="M2" s="6" t="s">
        <v>32</v>
      </c>
      <c r="O2" s="43" t="s">
        <v>58</v>
      </c>
      <c r="P2" s="30">
        <f>DSUM(データ表!$A$1:$I$33,7,P6:Q7)</f>
        <v>586050</v>
      </c>
      <c r="Q2" s="20"/>
    </row>
    <row r="3" spans="1:18">
      <c r="A3" s="25" t="s">
        <v>35</v>
      </c>
      <c r="B3" s="45">
        <f>DSUM(データ表!$A$1:$I$33,$B$2,$C$10:$C$11)</f>
        <v>88</v>
      </c>
      <c r="C3" s="45">
        <f>SUMIF(データ表!$B$2:$B$33,A3,データ表!$G$2:$G$33)+SUMIF(データ表!$B$2:$B$33,A3,データ表!$I$2:$I$33)</f>
        <v>385270</v>
      </c>
      <c r="D3" s="3">
        <f>ROUNDUP(IF(AND(B3&gt;=90,C3&gt;=380000),C3*7.2%,C3*6.3%),0)</f>
        <v>24273</v>
      </c>
      <c r="E3" s="3">
        <f>C3-D3</f>
        <v>360997</v>
      </c>
      <c r="F3" s="41" t="str">
        <f>IF(E3&lt;AVERAGE($E$3:$E$6),"努力","")</f>
        <v/>
      </c>
      <c r="H3" s="7" t="s">
        <v>37</v>
      </c>
      <c r="I3" s="45">
        <f>SUMIF(データ表!$D$2:$D$33,$H3,データ表!$E$2:$E$33)</f>
        <v>46</v>
      </c>
      <c r="J3" s="16">
        <f>SUMIF(データ表!$D$2:$D$33,$H3,データ表!$G$2:$G$33)</f>
        <v>209980</v>
      </c>
      <c r="K3" s="16">
        <f>SUMIF(データ表!$D$2:$D$33,$H3,データ表!$I$2:$I$33)</f>
        <v>15500</v>
      </c>
      <c r="L3" s="37">
        <f t="shared" ref="L3:L10" si="0">J3+K3</f>
        <v>225480</v>
      </c>
      <c r="M3" s="31">
        <f t="shared" ref="M3:M10" si="1">L3/SUM($L$3:$L$10)</f>
        <v>0.1492958306020698</v>
      </c>
      <c r="O3" s="25" t="s">
        <v>61</v>
      </c>
      <c r="P3" s="17">
        <f>DCOUNTA(データ表!$A$1:$I$33,2,P8:Q9)</f>
        <v>10</v>
      </c>
    </row>
    <row r="4" spans="1:18" ht="14.25" thickBot="1">
      <c r="A4" s="25" t="s">
        <v>33</v>
      </c>
      <c r="B4" s="45">
        <f>DSUM(データ表!$A$1:$I$33,$B$2,$A$10:$A$11)</f>
        <v>93</v>
      </c>
      <c r="C4" s="45">
        <f>SUMIF(データ表!$B$2:$B$33,A4,データ表!$G$2:$G$33)+SUMIF(データ表!$B$2:$B$33,A4,データ表!$I$2:$I$33)</f>
        <v>383210</v>
      </c>
      <c r="D4" s="3">
        <f>ROUNDUP(IF(AND(B4&gt;=90,C4&gt;=380000),C4*7.2%,C4*6.3%),0)</f>
        <v>27592</v>
      </c>
      <c r="E4" s="3">
        <f>C4-D4</f>
        <v>355618</v>
      </c>
      <c r="F4" s="41" t="str">
        <f>IF(E4&lt;AVERAGE($E$3:$E$6),"努力","")</f>
        <v/>
      </c>
      <c r="H4" s="7" t="s">
        <v>39</v>
      </c>
      <c r="I4" s="45">
        <f>SUMIF(データ表!$D$2:$D$33,$H4,データ表!$E$2:$E$33)</f>
        <v>43</v>
      </c>
      <c r="J4" s="16">
        <f>SUMIF(データ表!$D$2:$D$33,$H4,データ表!$G$2:$G$33)</f>
        <v>181890</v>
      </c>
      <c r="K4" s="16">
        <f>SUMIF(データ表!$D$2:$D$33,$H4,データ表!$I$2:$I$33)</f>
        <v>17900</v>
      </c>
      <c r="L4" s="37">
        <f t="shared" si="0"/>
        <v>199790</v>
      </c>
      <c r="M4" s="31">
        <f t="shared" si="1"/>
        <v>0.1322858523859656</v>
      </c>
      <c r="O4" s="42" t="s">
        <v>56</v>
      </c>
      <c r="P4" s="19" t="str">
        <f>DGET(データ表!$A$1:$I$33,2,P10:P11)</f>
        <v>日新企画</v>
      </c>
      <c r="Q4" s="27"/>
    </row>
    <row r="5" spans="1:18" ht="14.25" thickBot="1">
      <c r="A5" s="25" t="s">
        <v>36</v>
      </c>
      <c r="B5" s="45">
        <f>DSUM(データ表!$A$1:$I$33,$B$2,$D$10:$D$11)</f>
        <v>90</v>
      </c>
      <c r="C5" s="45">
        <f>SUMIF(データ表!$B$2:$B$33,A5,データ表!$G$2:$G$33)+SUMIF(データ表!$B$2:$B$33,A5,データ表!$I$2:$I$33)</f>
        <v>376510</v>
      </c>
      <c r="D5" s="3">
        <f>ROUNDUP(IF(AND(B5&gt;=90,C5&gt;=380000),C5*7.2%,C5*6.3%),0)</f>
        <v>23721</v>
      </c>
      <c r="E5" s="3">
        <f>C5-D5</f>
        <v>352789</v>
      </c>
      <c r="F5" s="41" t="str">
        <f>IF(E5&lt;AVERAGE($E$3:$E$6),"努力","")</f>
        <v>努力</v>
      </c>
      <c r="H5" s="7" t="s">
        <v>41</v>
      </c>
      <c r="I5" s="45">
        <f>SUMIF(データ表!$D$2:$D$33,$H5,データ表!$E$2:$E$33)</f>
        <v>50</v>
      </c>
      <c r="J5" s="16">
        <f>SUMIF(データ表!$D$2:$D$33,$H5,データ表!$G$2:$G$33)</f>
        <v>205200</v>
      </c>
      <c r="K5" s="16">
        <f>SUMIF(データ表!$D$2:$D$33,$H5,データ表!$I$2:$I$33)</f>
        <v>15100</v>
      </c>
      <c r="L5" s="37">
        <f t="shared" si="0"/>
        <v>220300</v>
      </c>
      <c r="M5" s="31">
        <f t="shared" si="1"/>
        <v>0.14586602573015778</v>
      </c>
    </row>
    <row r="6" spans="1:18">
      <c r="A6" s="25" t="s">
        <v>34</v>
      </c>
      <c r="B6" s="45">
        <f>DSUM(データ表!$A$1:$I$33,$B$2,$B$10:$B$11)</f>
        <v>87</v>
      </c>
      <c r="C6" s="45">
        <f>SUMIF(データ表!$B$2:$B$33,A6,データ表!$G$2:$G$33)+SUMIF(データ表!$B$2:$B$33,A6,データ表!$I$2:$I$33)</f>
        <v>365300</v>
      </c>
      <c r="D6" s="3">
        <f>ROUNDUP(IF(AND(B6&gt;=90,C6&gt;=380000),C6*7.2%,C6*6.3%),0)</f>
        <v>23014</v>
      </c>
      <c r="E6" s="3">
        <f>C6-D6</f>
        <v>342286</v>
      </c>
      <c r="F6" s="41" t="str">
        <f>IF(E6&lt;AVERAGE($E$3:$E$6),"努力","")</f>
        <v>努力</v>
      </c>
      <c r="H6" s="7" t="s">
        <v>43</v>
      </c>
      <c r="I6" s="45">
        <f>SUMIF(データ表!$D$2:$D$33,$H6,データ表!$E$2:$E$33)</f>
        <v>40</v>
      </c>
      <c r="J6" s="16">
        <f>SUMIF(データ表!$D$2:$D$33,$H6,データ表!$G$2:$G$33)</f>
        <v>180440</v>
      </c>
      <c r="K6" s="16">
        <f>SUMIF(データ表!$D$2:$D$33,$H6,データ表!$I$2:$I$33)</f>
        <v>10900</v>
      </c>
      <c r="L6" s="37">
        <f t="shared" si="0"/>
        <v>191340</v>
      </c>
      <c r="M6" s="31">
        <f t="shared" si="1"/>
        <v>0.12669090042309755</v>
      </c>
      <c r="P6" s="4" t="s">
        <v>30</v>
      </c>
      <c r="Q6" s="6" t="s">
        <v>30</v>
      </c>
      <c r="R6" s="14"/>
    </row>
    <row r="7" spans="1:18" ht="14.25" thickBot="1">
      <c r="A7" s="7"/>
      <c r="B7" s="2"/>
      <c r="C7" s="2"/>
      <c r="D7" s="2"/>
      <c r="E7" s="2"/>
      <c r="F7" s="8"/>
      <c r="H7" s="7" t="s">
        <v>45</v>
      </c>
      <c r="I7" s="45">
        <f>SUMIF(データ表!$D$2:$D$33,$H7,データ表!$E$2:$E$33)</f>
        <v>45</v>
      </c>
      <c r="J7" s="16">
        <f>SUMIF(データ表!$D$2:$D$33,$H7,データ表!$G$2:$G$33)</f>
        <v>162720</v>
      </c>
      <c r="K7" s="16">
        <f>SUMIF(データ表!$D$2:$D$33,$H7,データ表!$I$2:$I$33)</f>
        <v>14800</v>
      </c>
      <c r="L7" s="37">
        <f t="shared" si="0"/>
        <v>177520</v>
      </c>
      <c r="M7" s="31">
        <f t="shared" si="1"/>
        <v>0.11754033993471452</v>
      </c>
      <c r="P7" s="9" t="s">
        <v>22</v>
      </c>
      <c r="Q7" s="12" t="s">
        <v>23</v>
      </c>
    </row>
    <row r="8" spans="1:18" ht="14.25" thickBot="1">
      <c r="A8" s="13" t="s">
        <v>27</v>
      </c>
      <c r="B8" s="11">
        <f>SUM(B3:B6)</f>
        <v>358</v>
      </c>
      <c r="C8" s="10">
        <f>SUM(C3:C6)</f>
        <v>1510290</v>
      </c>
      <c r="D8" s="10">
        <f>SUM(D3:D6)</f>
        <v>98600</v>
      </c>
      <c r="E8" s="10">
        <f>SUM(E3:E6)</f>
        <v>1411690</v>
      </c>
      <c r="F8" s="12"/>
      <c r="H8" s="7" t="s">
        <v>47</v>
      </c>
      <c r="I8" s="45">
        <f>SUMIF(データ表!$D$2:$D$33,$H8,データ表!$E$2:$E$33)</f>
        <v>49</v>
      </c>
      <c r="J8" s="16">
        <f>SUMIF(データ表!$D$2:$D$33,$H8,データ表!$G$2:$G$33)</f>
        <v>184270</v>
      </c>
      <c r="K8" s="16">
        <f>SUMIF(データ表!$D$2:$D$33,$H8,データ表!$I$2:$I$33)</f>
        <v>12300</v>
      </c>
      <c r="L8" s="37">
        <f t="shared" si="0"/>
        <v>196570</v>
      </c>
      <c r="M8" s="31">
        <f t="shared" si="1"/>
        <v>0.13015381151964192</v>
      </c>
      <c r="P8" s="4" t="s">
        <v>5</v>
      </c>
      <c r="Q8" s="6" t="s">
        <v>31</v>
      </c>
      <c r="R8" s="14"/>
    </row>
    <row r="9" spans="1:18" ht="14.25" thickBot="1">
      <c r="E9" s="20"/>
      <c r="H9" s="7" t="s">
        <v>49</v>
      </c>
      <c r="I9" s="45">
        <f>SUMIF(データ表!$D$2:$D$33,$H9,データ表!$E$2:$E$33)</f>
        <v>41</v>
      </c>
      <c r="J9" s="16">
        <f>SUMIF(データ表!$D$2:$D$33,$H9,データ表!$G$2:$G$33)</f>
        <v>152440</v>
      </c>
      <c r="K9" s="16">
        <f>SUMIF(データ表!$D$2:$D$33,$H9,データ表!$I$2:$I$33)</f>
        <v>8400</v>
      </c>
      <c r="L9" s="37">
        <f t="shared" si="0"/>
        <v>160840</v>
      </c>
      <c r="M9" s="31">
        <f t="shared" si="1"/>
        <v>0.10649610339736078</v>
      </c>
      <c r="P9" s="9" t="s">
        <v>59</v>
      </c>
      <c r="Q9" s="12" t="s">
        <v>60</v>
      </c>
    </row>
    <row r="10" spans="1:18" ht="14.25" thickBot="1">
      <c r="A10" s="28" t="s">
        <v>5</v>
      </c>
      <c r="B10" s="28" t="s">
        <v>5</v>
      </c>
      <c r="C10" s="28" t="s">
        <v>5</v>
      </c>
      <c r="D10" s="28" t="s">
        <v>5</v>
      </c>
      <c r="H10" s="9" t="s">
        <v>51</v>
      </c>
      <c r="I10" s="24">
        <f>SUMIF(データ表!$D$2:$D$33,$H10,データ表!$E$2:$E$33)</f>
        <v>44</v>
      </c>
      <c r="J10" s="18">
        <f>SUMIF(データ表!$D$2:$D$33,$H10,データ表!$G$2:$G$33)</f>
        <v>129650</v>
      </c>
      <c r="K10" s="18">
        <f>SUMIF(データ表!$D$2:$D$33,$H10,データ表!$I$2:$I$33)</f>
        <v>8800</v>
      </c>
      <c r="L10" s="38">
        <f t="shared" si="0"/>
        <v>138450</v>
      </c>
      <c r="M10" s="32">
        <f t="shared" si="1"/>
        <v>9.1671136006992032E-2</v>
      </c>
      <c r="P10" s="28" t="s">
        <v>57</v>
      </c>
      <c r="Q10" s="14"/>
      <c r="R10" s="14"/>
    </row>
    <row r="11" spans="1:18" ht="14.25" thickBot="1">
      <c r="A11" s="29" t="s">
        <v>33</v>
      </c>
      <c r="B11" s="29" t="s">
        <v>34</v>
      </c>
      <c r="C11" s="29" t="s">
        <v>35</v>
      </c>
      <c r="D11" s="29" t="s">
        <v>36</v>
      </c>
      <c r="L11" s="34"/>
      <c r="M11" s="35"/>
      <c r="P11" s="44">
        <f>MAX(データ表!G2:G33)</f>
        <v>66750</v>
      </c>
    </row>
    <row r="12" spans="1:18">
      <c r="H12" s="14"/>
      <c r="I12" s="14"/>
      <c r="J12" s="14"/>
      <c r="K12" s="14"/>
      <c r="L12" s="14"/>
      <c r="M12" s="14"/>
    </row>
    <row r="13" spans="1:18">
      <c r="D13" s="21"/>
      <c r="E13" s="21"/>
    </row>
    <row r="14" spans="1:18">
      <c r="H14" s="14"/>
      <c r="I14" s="14"/>
      <c r="J14" s="14"/>
    </row>
  </sheetData>
  <sortState xmlns:xlrd2="http://schemas.microsoft.com/office/spreadsheetml/2017/richdata2" ref="A3:F6">
    <sortCondition descending="1" ref="E4:E6"/>
  </sortState>
  <mergeCells count="2">
    <mergeCell ref="A1:F1"/>
    <mergeCell ref="H1:M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scale="71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データ表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2022-12-01T04:25:39Z</cp:lastPrinted>
  <dcterms:created xsi:type="dcterms:W3CDTF">2019-03-28T01:49:55Z</dcterms:created>
  <dcterms:modified xsi:type="dcterms:W3CDTF">2023-01-12T03:44:55Z</dcterms:modified>
</cp:coreProperties>
</file>