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 autoCompressPictures="0" defaultThemeVersion="166925"/>
  <mc:AlternateContent xmlns:mc="http://schemas.openxmlformats.org/markup-compatibility/2006">
    <mc:Choice Requires="x15">
      <x15ac:absPath xmlns:x15ac="http://schemas.microsoft.com/office/spreadsheetml/2010/11/ac" url="\\svr01\共有フォルダー\検定関連\00_問題\02_問題集\2023(令和05)年度\1表計算\3_SP初段\模範解答\sps-A\"/>
    </mc:Choice>
  </mc:AlternateContent>
  <xr:revisionPtr revIDLastSave="0" documentId="13_ncr:1_{050D84EC-CE7B-4034-B9DA-74278FDA2BCD}" xr6:coauthVersionLast="47" xr6:coauthVersionMax="47" xr10:uidLastSave="{00000000-0000-0000-0000-000000000000}"/>
  <bookViews>
    <workbookView xWindow="-120" yWindow="-120" windowWidth="29040" windowHeight="15840" xr2:uid="{86E23B2F-6F5F-4B2C-B978-EE4A60B535BE}"/>
  </bookViews>
  <sheets>
    <sheet name="テーブル" sheetId="1" r:id="rId1"/>
    <sheet name="仕入データ表" sheetId="5" r:id="rId2"/>
    <sheet name="売上データ表" sheetId="6" r:id="rId3"/>
    <sheet name="計算表" sheetId="7" r:id="rId4"/>
  </sheets>
  <definedNames>
    <definedName name="_xlnm._FilterDatabase" localSheetId="1" hidden="1">仕入データ表!$A$1:$G$31</definedName>
    <definedName name="_xlnm.Criteria" localSheetId="1">仕入データ表!$I$2:$J$4</definedName>
    <definedName name="_xlnm.Extract" localSheetId="1">仕入データ表!$L$2:$R$2</definedName>
  </definedNames>
  <calcPr calcId="181029"/>
  <extLst>
    <ext xmlns:x14="http://schemas.microsoft.com/office/spreadsheetml/2009/9/main" uri="{79F54976-1DA5-4618-B147-4CDE4B953A38}">
      <x14:workbookPr defaultImageDpi="32767"/>
    </ex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" i="6" l="1"/>
  <c r="F3" i="7"/>
  <c r="E3" i="7"/>
  <c r="O7" i="7"/>
  <c r="O6" i="7"/>
  <c r="O5" i="7"/>
  <c r="O4" i="7"/>
  <c r="O3" i="7"/>
  <c r="B3" i="6"/>
  <c r="B4" i="6"/>
  <c r="B5" i="6"/>
  <c r="B6" i="6"/>
  <c r="B7" i="6"/>
  <c r="B8" i="6"/>
  <c r="B9" i="6"/>
  <c r="B10" i="6"/>
  <c r="B11" i="6"/>
  <c r="B12" i="6"/>
  <c r="B13" i="6"/>
  <c r="B14" i="6"/>
  <c r="B15" i="6"/>
  <c r="B16" i="6"/>
  <c r="B17" i="6"/>
  <c r="B18" i="6"/>
  <c r="B19" i="6"/>
  <c r="B20" i="6"/>
  <c r="B21" i="6"/>
  <c r="B22" i="6"/>
  <c r="B23" i="6"/>
  <c r="B24" i="6"/>
  <c r="B25" i="6"/>
  <c r="B26" i="6"/>
  <c r="B2" i="6"/>
  <c r="R12" i="5"/>
  <c r="Q12" i="5"/>
  <c r="O12" i="5"/>
  <c r="E2" i="5" l="1"/>
  <c r="N4" i="7" l="1"/>
  <c r="N5" i="7"/>
  <c r="N6" i="7"/>
  <c r="N7" i="7"/>
  <c r="N3" i="7"/>
  <c r="O9" i="7" l="1"/>
  <c r="F2" i="5"/>
  <c r="G2" i="5" s="1"/>
  <c r="D33" i="5"/>
  <c r="E7" i="7"/>
  <c r="E6" i="7"/>
  <c r="E5" i="7"/>
  <c r="E4" i="7"/>
  <c r="C7" i="7" l="1"/>
  <c r="C6" i="7"/>
  <c r="C3" i="7"/>
  <c r="C4" i="7"/>
  <c r="C5" i="7"/>
  <c r="E3" i="5"/>
  <c r="F3" i="5" s="1"/>
  <c r="E4" i="5"/>
  <c r="F4" i="5" s="1"/>
  <c r="E5" i="5"/>
  <c r="F5" i="5" s="1"/>
  <c r="E6" i="5"/>
  <c r="F6" i="5" s="1"/>
  <c r="E7" i="5"/>
  <c r="F7" i="5" s="1"/>
  <c r="E8" i="5"/>
  <c r="F8" i="5" s="1"/>
  <c r="E9" i="5"/>
  <c r="F9" i="5" s="1"/>
  <c r="E10" i="5"/>
  <c r="F10" i="5" s="1"/>
  <c r="E11" i="5"/>
  <c r="F11" i="5" s="1"/>
  <c r="E12" i="5"/>
  <c r="F12" i="5" s="1"/>
  <c r="E13" i="5"/>
  <c r="F13" i="5" s="1"/>
  <c r="E14" i="5"/>
  <c r="F14" i="5" s="1"/>
  <c r="E15" i="5"/>
  <c r="F15" i="5" s="1"/>
  <c r="E16" i="5"/>
  <c r="F16" i="5" s="1"/>
  <c r="E17" i="5"/>
  <c r="F17" i="5" s="1"/>
  <c r="E18" i="5"/>
  <c r="F18" i="5" s="1"/>
  <c r="E19" i="5"/>
  <c r="F19" i="5" s="1"/>
  <c r="E20" i="5"/>
  <c r="F20" i="5" s="1"/>
  <c r="E21" i="5"/>
  <c r="F21" i="5" s="1"/>
  <c r="E22" i="5"/>
  <c r="F22" i="5" s="1"/>
  <c r="E23" i="5"/>
  <c r="F23" i="5" s="1"/>
  <c r="E24" i="5"/>
  <c r="F24" i="5" s="1"/>
  <c r="E25" i="5"/>
  <c r="F25" i="5" s="1"/>
  <c r="E26" i="5"/>
  <c r="F26" i="5" s="1"/>
  <c r="E27" i="5"/>
  <c r="F27" i="5" s="1"/>
  <c r="E28" i="5"/>
  <c r="F28" i="5" s="1"/>
  <c r="E29" i="5"/>
  <c r="F29" i="5" s="1"/>
  <c r="E30" i="5"/>
  <c r="F30" i="5" s="1"/>
  <c r="E31" i="5"/>
  <c r="F31" i="5" s="1"/>
  <c r="C31" i="5"/>
  <c r="C30" i="5"/>
  <c r="C29" i="5"/>
  <c r="C28" i="5"/>
  <c r="C27" i="5"/>
  <c r="C26" i="5"/>
  <c r="C25" i="5"/>
  <c r="C24" i="5"/>
  <c r="C23" i="5"/>
  <c r="C22" i="5"/>
  <c r="G22" i="5" l="1"/>
  <c r="G23" i="5"/>
  <c r="G24" i="5"/>
  <c r="G25" i="5"/>
  <c r="G26" i="5"/>
  <c r="G27" i="5"/>
  <c r="G28" i="5"/>
  <c r="G29" i="5"/>
  <c r="G30" i="5"/>
  <c r="G31" i="5"/>
  <c r="C21" i="5"/>
  <c r="C20" i="5"/>
  <c r="C19" i="5"/>
  <c r="C18" i="5"/>
  <c r="C17" i="5"/>
  <c r="G17" i="5" l="1"/>
  <c r="G19" i="5"/>
  <c r="G20" i="5"/>
  <c r="G21" i="5"/>
  <c r="B5" i="7"/>
  <c r="B7" i="7"/>
  <c r="B4" i="7"/>
  <c r="B6" i="7"/>
  <c r="F3" i="6"/>
  <c r="F4" i="6"/>
  <c r="F5" i="6"/>
  <c r="F6" i="6"/>
  <c r="F7" i="6"/>
  <c r="F8" i="6"/>
  <c r="F9" i="6"/>
  <c r="F10" i="6"/>
  <c r="F11" i="6"/>
  <c r="F12" i="6"/>
  <c r="F13" i="6"/>
  <c r="F14" i="6"/>
  <c r="F15" i="6"/>
  <c r="F16" i="6"/>
  <c r="F17" i="6"/>
  <c r="F18" i="6"/>
  <c r="F19" i="6"/>
  <c r="F20" i="6"/>
  <c r="F21" i="6"/>
  <c r="F22" i="6"/>
  <c r="F23" i="6"/>
  <c r="F24" i="6"/>
  <c r="F25" i="6"/>
  <c r="F26" i="6"/>
  <c r="D3" i="6"/>
  <c r="D4" i="6"/>
  <c r="D5" i="6"/>
  <c r="D6" i="6"/>
  <c r="D7" i="6"/>
  <c r="D8" i="6"/>
  <c r="D9" i="6"/>
  <c r="D10" i="6"/>
  <c r="D11" i="6"/>
  <c r="D12" i="6"/>
  <c r="D13" i="6"/>
  <c r="D14" i="6"/>
  <c r="D15" i="6"/>
  <c r="D16" i="6"/>
  <c r="D17" i="6"/>
  <c r="D18" i="6"/>
  <c r="D19" i="6"/>
  <c r="D20" i="6"/>
  <c r="D21" i="6"/>
  <c r="D22" i="6"/>
  <c r="D23" i="6"/>
  <c r="D24" i="6"/>
  <c r="D25" i="6"/>
  <c r="D26" i="6"/>
  <c r="C3" i="5"/>
  <c r="C4" i="5"/>
  <c r="C5" i="5"/>
  <c r="C6" i="5"/>
  <c r="C7" i="5"/>
  <c r="C8" i="5"/>
  <c r="C9" i="5"/>
  <c r="C10" i="5"/>
  <c r="C11" i="5"/>
  <c r="C12" i="5"/>
  <c r="C13" i="5"/>
  <c r="C14" i="5"/>
  <c r="C15" i="5"/>
  <c r="C16" i="5"/>
  <c r="C2" i="5"/>
  <c r="G18" i="5" l="1"/>
  <c r="G16" i="5"/>
  <c r="G14" i="5"/>
  <c r="G12" i="5"/>
  <c r="G10" i="5"/>
  <c r="G8" i="5"/>
  <c r="G6" i="5"/>
  <c r="G4" i="5"/>
  <c r="G15" i="5"/>
  <c r="G13" i="5"/>
  <c r="G11" i="5"/>
  <c r="G9" i="5"/>
  <c r="G7" i="5"/>
  <c r="G5" i="5"/>
  <c r="G3" i="5"/>
  <c r="B3" i="7"/>
  <c r="F2" i="6"/>
  <c r="F33" i="5"/>
  <c r="E28" i="6"/>
  <c r="D7" i="7" l="1"/>
  <c r="D6" i="7"/>
  <c r="D4" i="7"/>
  <c r="D5" i="7"/>
  <c r="E9" i="7"/>
  <c r="C9" i="7"/>
  <c r="G33" i="5" l="1"/>
  <c r="I3" i="7"/>
  <c r="D3" i="7"/>
  <c r="D9" i="7" l="1"/>
  <c r="F4" i="7"/>
  <c r="F5" i="7"/>
  <c r="F6" i="7"/>
  <c r="F7" i="7"/>
  <c r="J3" i="7"/>
  <c r="K3" i="7"/>
  <c r="J6" i="7"/>
  <c r="K6" i="7"/>
  <c r="J4" i="7"/>
  <c r="K4" i="7"/>
  <c r="J7" i="7"/>
  <c r="K7" i="7"/>
  <c r="J5" i="7"/>
  <c r="K5" i="7"/>
  <c r="I6" i="7"/>
  <c r="I4" i="7"/>
  <c r="I7" i="7"/>
  <c r="I5" i="7"/>
  <c r="P4" i="7"/>
  <c r="Q4" i="7" s="1"/>
  <c r="P5" i="7"/>
  <c r="Q5" i="7" s="1"/>
  <c r="R5" i="7" s="1"/>
  <c r="P6" i="7"/>
  <c r="Q6" i="7" s="1"/>
  <c r="P7" i="7"/>
  <c r="Q7" i="7" s="1"/>
  <c r="P3" i="7"/>
  <c r="F9" i="7" l="1"/>
  <c r="P9" i="7"/>
  <c r="R7" i="7"/>
  <c r="R4" i="7"/>
  <c r="R6" i="7"/>
  <c r="Q3" i="7"/>
  <c r="Q9" i="7" l="1"/>
  <c r="R3" i="7"/>
  <c r="R9" i="7" s="1"/>
</calcChain>
</file>

<file path=xl/sharedStrings.xml><?xml version="1.0" encoding="utf-8"?>
<sst xmlns="http://schemas.openxmlformats.org/spreadsheetml/2006/main" count="142" uniqueCount="68">
  <si>
    <t>商ＣＯ</t>
  </si>
  <si>
    <t>商品名</t>
  </si>
  <si>
    <t>仕入数</t>
  </si>
  <si>
    <t>値引額</t>
  </si>
  <si>
    <t>＜商品テーブル＞</t>
  </si>
  <si>
    <t>原価</t>
  </si>
  <si>
    <t>合　計</t>
  </si>
  <si>
    <t>定価</t>
  </si>
  <si>
    <t>得ＣＯ</t>
  </si>
  <si>
    <t>得意先名</t>
  </si>
  <si>
    <t>売上数</t>
  </si>
  <si>
    <t>売価</t>
  </si>
  <si>
    <t>売上額</t>
  </si>
  <si>
    <t>＜得意先テーブル＞</t>
  </si>
  <si>
    <t>＜割引率テーブル＞</t>
  </si>
  <si>
    <t>区分</t>
  </si>
  <si>
    <t>割引率</t>
  </si>
  <si>
    <t>決済日</t>
  </si>
  <si>
    <t>仕入額</t>
  </si>
  <si>
    <t>原価(＄)</t>
  </si>
  <si>
    <t>為替相場</t>
  </si>
  <si>
    <t xml:space="preserve"> </t>
  </si>
  <si>
    <t>商品名</t>
    <rPh sb="0" eb="2">
      <t>ショウヒン</t>
    </rPh>
    <rPh sb="2" eb="3">
      <t>メイ</t>
    </rPh>
    <phoneticPr fontId="1"/>
  </si>
  <si>
    <t>得意先名</t>
    <rPh sb="0" eb="3">
      <t>トクイサキ</t>
    </rPh>
    <rPh sb="3" eb="4">
      <t>メイ</t>
    </rPh>
    <phoneticPr fontId="1"/>
  </si>
  <si>
    <t>＜為替相場テーブル＞</t>
    <phoneticPr fontId="1"/>
  </si>
  <si>
    <t>商品別仕入額集計表</t>
  </si>
  <si>
    <t>合　計</t>
    <phoneticPr fontId="1"/>
  </si>
  <si>
    <t>商　品　一　覧　表</t>
    <phoneticPr fontId="1"/>
  </si>
  <si>
    <t>売掛金残高</t>
    <rPh sb="0" eb="3">
      <t>ウリカケキン</t>
    </rPh>
    <rPh sb="3" eb="5">
      <t>ザンダカ</t>
    </rPh>
    <phoneticPr fontId="1"/>
  </si>
  <si>
    <t>請求額</t>
    <rPh sb="0" eb="3">
      <t>セイキュウガク</t>
    </rPh>
    <phoneticPr fontId="1"/>
  </si>
  <si>
    <t>諸経費</t>
    <rPh sb="0" eb="3">
      <t>ショケイヒ</t>
    </rPh>
    <phoneticPr fontId="1"/>
  </si>
  <si>
    <t>得意先別請求額計算表</t>
    <rPh sb="0" eb="4">
      <t>トクイサキベツ</t>
    </rPh>
    <rPh sb="4" eb="7">
      <t>セイキュウガク</t>
    </rPh>
    <rPh sb="7" eb="9">
      <t>ケイサン</t>
    </rPh>
    <rPh sb="9" eb="10">
      <t>ヒョウ</t>
    </rPh>
    <phoneticPr fontId="1"/>
  </si>
  <si>
    <t>商品Ｊ</t>
  </si>
  <si>
    <t>商品Ｊ</t>
    <phoneticPr fontId="1"/>
  </si>
  <si>
    <t>商品Ｋ</t>
  </si>
  <si>
    <t>商品Ｋ</t>
    <phoneticPr fontId="1"/>
  </si>
  <si>
    <t>商品Ｌ</t>
  </si>
  <si>
    <t>商品Ｌ</t>
    <phoneticPr fontId="1"/>
  </si>
  <si>
    <t>商品Ｍ</t>
  </si>
  <si>
    <t>商品Ｍ</t>
    <phoneticPr fontId="1"/>
  </si>
  <si>
    <t>商品Ｎ</t>
  </si>
  <si>
    <t>商品Ｎ</t>
    <phoneticPr fontId="1"/>
  </si>
  <si>
    <t>6月</t>
    <rPh sb="1" eb="2">
      <t>ガツ</t>
    </rPh>
    <phoneticPr fontId="1"/>
  </si>
  <si>
    <t>7月</t>
    <phoneticPr fontId="1"/>
  </si>
  <si>
    <t>8月</t>
    <phoneticPr fontId="1"/>
  </si>
  <si>
    <t>ＴＫ総業</t>
    <phoneticPr fontId="1"/>
  </si>
  <si>
    <t xml:space="preserve">ＡＢＳＹ </t>
    <phoneticPr fontId="1"/>
  </si>
  <si>
    <t>朝倉商事</t>
    <rPh sb="0" eb="2">
      <t>アサクラ</t>
    </rPh>
    <rPh sb="2" eb="4">
      <t>ショウジ</t>
    </rPh>
    <phoneticPr fontId="1"/>
  </si>
  <si>
    <t>南海貿易</t>
    <rPh sb="0" eb="2">
      <t>ナンカイ</t>
    </rPh>
    <rPh sb="2" eb="4">
      <t>ボウエキ</t>
    </rPh>
    <phoneticPr fontId="1"/>
  </si>
  <si>
    <t>ニチトク</t>
    <phoneticPr fontId="1"/>
  </si>
  <si>
    <t>A</t>
    <phoneticPr fontId="1"/>
  </si>
  <si>
    <t>B</t>
    <phoneticPr fontId="1"/>
  </si>
  <si>
    <t>C</t>
    <phoneticPr fontId="1"/>
  </si>
  <si>
    <t>101B</t>
  </si>
  <si>
    <t>101B</t>
    <phoneticPr fontId="1"/>
  </si>
  <si>
    <t>102C</t>
  </si>
  <si>
    <t>102C</t>
    <phoneticPr fontId="1"/>
  </si>
  <si>
    <t>103A</t>
  </si>
  <si>
    <t>103A</t>
    <phoneticPr fontId="1"/>
  </si>
  <si>
    <t>104B</t>
  </si>
  <si>
    <t>104B</t>
    <phoneticPr fontId="1"/>
  </si>
  <si>
    <t>105A</t>
  </si>
  <si>
    <t>105A</t>
    <phoneticPr fontId="1"/>
  </si>
  <si>
    <t>仕入数</t>
    <rPh sb="0" eb="2">
      <t>シイレ</t>
    </rPh>
    <rPh sb="2" eb="3">
      <t>スウ</t>
    </rPh>
    <phoneticPr fontId="1"/>
  </si>
  <si>
    <t>仕入額</t>
    <rPh sb="0" eb="3">
      <t>シイレガク</t>
    </rPh>
    <phoneticPr fontId="1"/>
  </si>
  <si>
    <t>&lt;200</t>
    <phoneticPr fontId="1"/>
  </si>
  <si>
    <t>&lt;550000</t>
    <phoneticPr fontId="1"/>
  </si>
  <si>
    <t>仕入数200未満または仕入額55万円未満</t>
    <rPh sb="0" eb="2">
      <t>シイレ</t>
    </rPh>
    <rPh sb="2" eb="3">
      <t>スウ</t>
    </rPh>
    <rPh sb="6" eb="8">
      <t>ミマン</t>
    </rPh>
    <rPh sb="11" eb="14">
      <t>シイレガク</t>
    </rPh>
    <rPh sb="16" eb="17">
      <t>マン</t>
    </rPh>
    <rPh sb="17" eb="18">
      <t>エン</t>
    </rPh>
    <rPh sb="18" eb="20">
      <t>ミマン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</si>
</sst>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%"/>
    <numFmt numFmtId="177" formatCode="yyyy/m/d;@"/>
  </numFmts>
  <fonts count="5">
    <font>
      <sz val="11"/>
      <color theme="1"/>
      <name val="ＭＳ 明朝"/>
      <family val="2"/>
      <charset val="128"/>
    </font>
    <font>
      <sz val="6"/>
      <name val="ＭＳ 明朝"/>
      <family val="2"/>
      <charset val="128"/>
    </font>
    <font>
      <sz val="11"/>
      <color theme="1"/>
      <name val="ＭＳ 明朝"/>
      <family val="2"/>
      <charset val="128"/>
    </font>
    <font>
      <sz val="11"/>
      <name val="ＭＳ 明朝"/>
      <family val="2"/>
      <charset val="128"/>
    </font>
    <font>
      <b/>
      <sz val="11"/>
      <color rgb="FFFF0000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>
      <alignment vertical="center"/>
    </xf>
    <xf numFmtId="9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</cellStyleXfs>
  <cellXfs count="38"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>
      <alignment vertical="center"/>
    </xf>
    <xf numFmtId="3" fontId="0" fillId="0" borderId="1" xfId="0" applyNumberFormat="1" applyBorder="1">
      <alignment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>
      <alignment vertical="center"/>
    </xf>
    <xf numFmtId="3" fontId="0" fillId="0" borderId="6" xfId="0" applyNumberFormat="1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8" xfId="0" applyBorder="1" applyAlignment="1">
      <alignment horizontal="center" vertical="center"/>
    </xf>
    <xf numFmtId="3" fontId="0" fillId="0" borderId="8" xfId="0" applyNumberFormat="1" applyBorder="1">
      <alignment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>
      <alignment vertical="center"/>
    </xf>
    <xf numFmtId="3" fontId="0" fillId="0" borderId="9" xfId="0" applyNumberFormat="1" applyBorder="1">
      <alignment vertical="center"/>
    </xf>
    <xf numFmtId="176" fontId="0" fillId="0" borderId="1" xfId="1" applyNumberFormat="1" applyFont="1" applyBorder="1">
      <alignment vertical="center"/>
    </xf>
    <xf numFmtId="0" fontId="3" fillId="0" borderId="1" xfId="0" applyFont="1" applyBorder="1">
      <alignment vertical="center"/>
    </xf>
    <xf numFmtId="0" fontId="4" fillId="0" borderId="0" xfId="0" applyFont="1">
      <alignment vertical="center"/>
    </xf>
    <xf numFmtId="176" fontId="0" fillId="0" borderId="0" xfId="1" applyNumberFormat="1" applyFont="1" applyBorder="1">
      <alignment vertical="center"/>
    </xf>
    <xf numFmtId="0" fontId="0" fillId="0" borderId="0" xfId="0" applyAlignment="1">
      <alignment horizontal="center" vertical="center"/>
    </xf>
    <xf numFmtId="3" fontId="3" fillId="0" borderId="1" xfId="0" applyNumberFormat="1" applyFont="1" applyBorder="1">
      <alignment vertical="center"/>
    </xf>
    <xf numFmtId="0" fontId="0" fillId="0" borderId="8" xfId="0" applyBorder="1">
      <alignment vertical="center"/>
    </xf>
    <xf numFmtId="14" fontId="0" fillId="0" borderId="5" xfId="0" applyNumberFormat="1" applyBorder="1">
      <alignment vertical="center"/>
    </xf>
    <xf numFmtId="0" fontId="0" fillId="0" borderId="9" xfId="0" applyBorder="1">
      <alignment vertical="center"/>
    </xf>
    <xf numFmtId="0" fontId="0" fillId="0" borderId="7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>
      <alignment vertical="center"/>
    </xf>
    <xf numFmtId="0" fontId="0" fillId="0" borderId="15" xfId="0" applyBorder="1" applyAlignment="1">
      <alignment horizontal="center" vertical="center"/>
    </xf>
    <xf numFmtId="38" fontId="0" fillId="0" borderId="14" xfId="2" applyFont="1" applyBorder="1">
      <alignment vertical="center"/>
    </xf>
    <xf numFmtId="0" fontId="0" fillId="0" borderId="10" xfId="0" applyBorder="1">
      <alignment vertical="center"/>
    </xf>
    <xf numFmtId="3" fontId="0" fillId="0" borderId="0" xfId="0" applyNumberFormat="1">
      <alignment vertical="center"/>
    </xf>
    <xf numFmtId="38" fontId="0" fillId="0" borderId="1" xfId="2" applyFont="1" applyFill="1" applyBorder="1">
      <alignment vertical="center"/>
    </xf>
    <xf numFmtId="38" fontId="0" fillId="0" borderId="1" xfId="2" applyFont="1" applyBorder="1">
      <alignment vertical="center"/>
    </xf>
    <xf numFmtId="177" fontId="0" fillId="0" borderId="1" xfId="0" applyNumberFormat="1" applyBorder="1">
      <alignment vertical="center"/>
    </xf>
    <xf numFmtId="3" fontId="3" fillId="0" borderId="6" xfId="0" applyNumberFormat="1" applyFont="1" applyBorder="1">
      <alignment vertical="center"/>
    </xf>
    <xf numFmtId="0" fontId="0" fillId="0" borderId="0" xfId="0" applyAlignment="1">
      <alignment horizontal="center" vertical="center"/>
    </xf>
    <xf numFmtId="0" fontId="0" fillId="0" borderId="12" xfId="0" applyBorder="1" applyAlignment="1">
      <alignment horizontal="center" vertical="center"/>
    </xf>
  </cellXfs>
  <cellStyles count="3">
    <cellStyle name="パーセント" xfId="1" builtinId="5"/>
    <cellStyle name="桁区切り" xfId="2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ja-JP" altLang="en-US" sz="1100" baseline="0">
                <a:solidFill>
                  <a:schemeClr val="tx1"/>
                </a:solidFill>
                <a:latin typeface="ＭＳ 明朝" panose="02020609040205080304" pitchFamily="17" charset="-128"/>
                <a:ea typeface="ＭＳ 明朝" panose="02020609040205080304" pitchFamily="17" charset="-128"/>
              </a:rPr>
              <a:t>得意先別の比較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1"/>
          <c:order val="1"/>
          <c:tx>
            <c:strRef>
              <c:f>計算表!$P$2</c:f>
              <c:strCache>
                <c:ptCount val="1"/>
                <c:pt idx="0">
                  <c:v>売上額</c:v>
                </c:pt>
              </c:strCache>
            </c:strRef>
          </c:tx>
          <c:spPr>
            <a:solidFill>
              <a:schemeClr val="bg1">
                <a:lumMod val="65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cat>
            <c:strRef>
              <c:f>計算表!$N$3:$N$7</c:f>
              <c:strCache>
                <c:ptCount val="5"/>
                <c:pt idx="0">
                  <c:v>ニチトク</c:v>
                </c:pt>
                <c:pt idx="1">
                  <c:v>ＴＫ総業</c:v>
                </c:pt>
                <c:pt idx="2">
                  <c:v>ＡＢＳＹ </c:v>
                </c:pt>
                <c:pt idx="3">
                  <c:v>朝倉商事</c:v>
                </c:pt>
                <c:pt idx="4">
                  <c:v>南海貿易</c:v>
                </c:pt>
              </c:strCache>
            </c:strRef>
          </c:cat>
          <c:val>
            <c:numRef>
              <c:f>計算表!$P$3:$P$7</c:f>
              <c:numCache>
                <c:formatCode>#,##0</c:formatCode>
                <c:ptCount val="5"/>
                <c:pt idx="0">
                  <c:v>4224661</c:v>
                </c:pt>
                <c:pt idx="1">
                  <c:v>5540295</c:v>
                </c:pt>
                <c:pt idx="2">
                  <c:v>4812347</c:v>
                </c:pt>
                <c:pt idx="3">
                  <c:v>5200539</c:v>
                </c:pt>
                <c:pt idx="4">
                  <c:v>4638954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BEF-425E-9030-2239EC3A07B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620099720"/>
        <c:axId val="620102016"/>
      </c:barChart>
      <c:lineChart>
        <c:grouping val="standard"/>
        <c:varyColors val="0"/>
        <c:ser>
          <c:idx val="0"/>
          <c:order val="0"/>
          <c:tx>
            <c:strRef>
              <c:f>計算表!$O$2</c:f>
              <c:strCache>
                <c:ptCount val="1"/>
                <c:pt idx="0">
                  <c:v>売上数</c:v>
                </c:pt>
              </c:strCache>
            </c:strRef>
          </c:tx>
          <c:spPr>
            <a:ln w="28575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cat>
            <c:strRef>
              <c:f>計算表!$N$3:$N$7</c:f>
              <c:strCache>
                <c:ptCount val="5"/>
                <c:pt idx="0">
                  <c:v>ニチトク</c:v>
                </c:pt>
                <c:pt idx="1">
                  <c:v>ＴＫ総業</c:v>
                </c:pt>
                <c:pt idx="2">
                  <c:v>ＡＢＳＹ </c:v>
                </c:pt>
                <c:pt idx="3">
                  <c:v>朝倉商事</c:v>
                </c:pt>
                <c:pt idx="4">
                  <c:v>南海貿易</c:v>
                </c:pt>
              </c:strCache>
            </c:strRef>
          </c:cat>
          <c:val>
            <c:numRef>
              <c:f>計算表!$O$3:$O$7</c:f>
              <c:numCache>
                <c:formatCode>#,##0</c:formatCode>
                <c:ptCount val="5"/>
                <c:pt idx="0">
                  <c:v>1258</c:v>
                </c:pt>
                <c:pt idx="1">
                  <c:v>1543</c:v>
                </c:pt>
                <c:pt idx="2">
                  <c:v>1408</c:v>
                </c:pt>
                <c:pt idx="3">
                  <c:v>1505</c:v>
                </c:pt>
                <c:pt idx="4">
                  <c:v>1379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BEF-425E-9030-2239EC3A07B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20110544"/>
        <c:axId val="620116120"/>
      </c:lineChart>
      <c:catAx>
        <c:axId val="6200997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ＭＳ 明朝" panose="02020609040205080304" pitchFamily="17" charset="-128"/>
                <a:ea typeface="ＭＳ 明朝" panose="02020609040205080304" pitchFamily="17" charset="-128"/>
                <a:cs typeface="+mn-cs"/>
              </a:defRPr>
            </a:pPr>
            <a:endParaRPr lang="ja-JP"/>
          </a:p>
        </c:txPr>
        <c:crossAx val="620102016"/>
        <c:crosses val="autoZero"/>
        <c:auto val="1"/>
        <c:lblAlgn val="ctr"/>
        <c:lblOffset val="100"/>
        <c:noMultiLvlLbl val="0"/>
      </c:catAx>
      <c:valAx>
        <c:axId val="620102016"/>
        <c:scaling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ＭＳ 明朝" panose="02020609040205080304" pitchFamily="17" charset="-128"/>
                <a:ea typeface="ＭＳ 明朝" panose="02020609040205080304" pitchFamily="17" charset="-128"/>
                <a:cs typeface="+mn-cs"/>
              </a:defRPr>
            </a:pPr>
            <a:endParaRPr lang="ja-JP"/>
          </a:p>
        </c:txPr>
        <c:crossAx val="620099720"/>
        <c:crosses val="autoZero"/>
        <c:crossBetween val="between"/>
      </c:valAx>
      <c:valAx>
        <c:axId val="620116120"/>
        <c:scaling>
          <c:orientation val="minMax"/>
        </c:scaling>
        <c:delete val="0"/>
        <c:axPos val="r"/>
        <c:numFmt formatCode="#,##0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ＭＳ 明朝" panose="02020609040205080304" pitchFamily="17" charset="-128"/>
                <a:ea typeface="ＭＳ 明朝" panose="02020609040205080304" pitchFamily="17" charset="-128"/>
                <a:cs typeface="+mn-cs"/>
              </a:defRPr>
            </a:pPr>
            <a:endParaRPr lang="ja-JP"/>
          </a:p>
        </c:txPr>
        <c:crossAx val="620110544"/>
        <c:crosses val="max"/>
        <c:crossBetween val="between"/>
      </c:valAx>
      <c:catAx>
        <c:axId val="62011054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620116120"/>
        <c:crosses val="autoZero"/>
        <c:auto val="1"/>
        <c:lblAlgn val="ctr"/>
        <c:lblOffset val="100"/>
        <c:noMultiLvlLbl val="0"/>
      </c:catAx>
      <c:spPr>
        <a:noFill/>
        <a:ln>
          <a:solidFill>
            <a:schemeClr val="tx1"/>
          </a:solidFill>
        </a:ln>
        <a:effectLst/>
      </c:spPr>
    </c:plotArea>
    <c:legend>
      <c:legendPos val="r"/>
      <c:overlay val="0"/>
      <c:spPr>
        <a:noFill/>
        <a:ln>
          <a:solidFill>
            <a:schemeClr val="tx1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ysClr val="windowText" lastClr="000000"/>
              </a:solidFill>
              <a:latin typeface="ＭＳ 明朝" panose="02020609040205080304" pitchFamily="17" charset="-128"/>
              <a:ea typeface="ＭＳ 明朝" panose="02020609040205080304" pitchFamily="17" charset="-128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bg1">
          <a:lumMod val="50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190500</xdr:colOff>
      <xdr:row>17</xdr:row>
      <xdr:rowOff>142875</xdr:rowOff>
    </xdr:from>
    <xdr:to>
      <xdr:col>20</xdr:col>
      <xdr:colOff>342900</xdr:colOff>
      <xdr:row>33</xdr:row>
      <xdr:rowOff>142875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B6820A41-A6D4-1AF8-0A2B-A129E75204C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B05546-BBE8-4BA7-993C-746B2311E22C}">
  <dimension ref="A1:N31"/>
  <sheetViews>
    <sheetView tabSelected="1" workbookViewId="0"/>
  </sheetViews>
  <sheetFormatPr defaultRowHeight="13.5"/>
  <cols>
    <col min="1" max="2" width="7.5" bestFit="1" customWidth="1"/>
    <col min="3" max="3" width="9.5" bestFit="1" customWidth="1"/>
    <col min="4" max="4" width="6.5" bestFit="1" customWidth="1"/>
    <col min="5" max="5" width="5.5" customWidth="1"/>
    <col min="6" max="6" width="10.5" customWidth="1"/>
    <col min="7" max="7" width="9.5" bestFit="1" customWidth="1"/>
    <col min="8" max="8" width="5.5" customWidth="1"/>
    <col min="9" max="9" width="7.5" bestFit="1" customWidth="1"/>
    <col min="10" max="10" width="10.5" bestFit="1" customWidth="1"/>
    <col min="11" max="11" width="11.625" bestFit="1" customWidth="1"/>
    <col min="12" max="12" width="5.5" customWidth="1"/>
    <col min="13" max="13" width="5.5" bestFit="1" customWidth="1"/>
    <col min="14" max="14" width="7.5" bestFit="1" customWidth="1"/>
    <col min="15" max="15" width="5.625" customWidth="1"/>
    <col min="16" max="18" width="9" customWidth="1"/>
  </cols>
  <sheetData>
    <row r="1" spans="1:14">
      <c r="A1" t="s">
        <v>4</v>
      </c>
      <c r="F1" t="s">
        <v>24</v>
      </c>
      <c r="I1" t="s">
        <v>13</v>
      </c>
      <c r="M1" t="s">
        <v>14</v>
      </c>
    </row>
    <row r="2" spans="1:14">
      <c r="A2" s="1" t="s">
        <v>0</v>
      </c>
      <c r="B2" s="1" t="s">
        <v>1</v>
      </c>
      <c r="C2" s="1" t="s">
        <v>19</v>
      </c>
      <c r="D2" s="1" t="s">
        <v>7</v>
      </c>
      <c r="F2" s="1" t="s">
        <v>17</v>
      </c>
      <c r="G2" s="1" t="s">
        <v>20</v>
      </c>
      <c r="I2" s="1" t="s">
        <v>8</v>
      </c>
      <c r="J2" s="1" t="s">
        <v>9</v>
      </c>
      <c r="K2" s="1" t="s">
        <v>28</v>
      </c>
      <c r="M2" s="1" t="s">
        <v>15</v>
      </c>
      <c r="N2" s="1" t="s">
        <v>16</v>
      </c>
    </row>
    <row r="3" spans="1:14">
      <c r="A3" s="2">
        <v>11</v>
      </c>
      <c r="B3" s="2" t="s">
        <v>33</v>
      </c>
      <c r="C3" s="2">
        <v>20.38</v>
      </c>
      <c r="D3" s="3">
        <v>3520</v>
      </c>
      <c r="F3" s="34">
        <v>45092</v>
      </c>
      <c r="G3" s="2">
        <v>137.84</v>
      </c>
      <c r="I3" s="2" t="s">
        <v>54</v>
      </c>
      <c r="J3" s="2" t="s">
        <v>49</v>
      </c>
      <c r="K3" s="33">
        <v>387000</v>
      </c>
      <c r="M3" s="2" t="s">
        <v>50</v>
      </c>
      <c r="N3" s="16">
        <v>8.3000000000000004E-2</v>
      </c>
    </row>
    <row r="4" spans="1:14">
      <c r="A4" s="2">
        <v>12</v>
      </c>
      <c r="B4" s="2" t="s">
        <v>35</v>
      </c>
      <c r="C4" s="2">
        <v>23.17</v>
      </c>
      <c r="D4" s="3">
        <v>4070</v>
      </c>
      <c r="F4" s="34">
        <v>45107</v>
      </c>
      <c r="G4" s="2">
        <v>136.37</v>
      </c>
      <c r="I4" s="2" t="s">
        <v>56</v>
      </c>
      <c r="J4" s="2" t="s">
        <v>45</v>
      </c>
      <c r="K4" s="33">
        <v>543000</v>
      </c>
      <c r="M4" s="2" t="s">
        <v>51</v>
      </c>
      <c r="N4" s="16">
        <v>7.3999999999999996E-2</v>
      </c>
    </row>
    <row r="5" spans="1:14">
      <c r="A5" s="2">
        <v>13</v>
      </c>
      <c r="B5" s="2" t="s">
        <v>37</v>
      </c>
      <c r="C5" s="2">
        <v>18.559999999999999</v>
      </c>
      <c r="D5" s="3">
        <v>3260</v>
      </c>
      <c r="F5" s="34">
        <v>45122</v>
      </c>
      <c r="G5" s="2">
        <v>134.05000000000001</v>
      </c>
      <c r="I5" s="2" t="s">
        <v>58</v>
      </c>
      <c r="J5" s="2" t="s">
        <v>46</v>
      </c>
      <c r="K5" s="33">
        <v>398000</v>
      </c>
      <c r="M5" s="2" t="s">
        <v>52</v>
      </c>
      <c r="N5" s="16">
        <v>6.5000000000000002E-2</v>
      </c>
    </row>
    <row r="6" spans="1:14">
      <c r="A6" s="2">
        <v>14</v>
      </c>
      <c r="B6" s="2" t="s">
        <v>39</v>
      </c>
      <c r="C6" s="2">
        <v>24.51</v>
      </c>
      <c r="D6" s="3">
        <v>4390</v>
      </c>
      <c r="F6" s="34">
        <v>45138</v>
      </c>
      <c r="G6" s="2">
        <v>135.93</v>
      </c>
      <c r="I6" s="2" t="s">
        <v>60</v>
      </c>
      <c r="J6" s="2" t="s">
        <v>47</v>
      </c>
      <c r="K6" s="33">
        <v>486000</v>
      </c>
      <c r="N6" s="19"/>
    </row>
    <row r="7" spans="1:14">
      <c r="A7" s="2">
        <v>15</v>
      </c>
      <c r="B7" s="2" t="s">
        <v>41</v>
      </c>
      <c r="C7" s="17">
        <v>19.829999999999998</v>
      </c>
      <c r="D7" s="3">
        <v>3480</v>
      </c>
      <c r="F7" s="34">
        <v>45153</v>
      </c>
      <c r="G7" s="2">
        <v>136.41</v>
      </c>
      <c r="I7" s="2" t="s">
        <v>62</v>
      </c>
      <c r="J7" s="17" t="s">
        <v>48</v>
      </c>
      <c r="K7" s="33">
        <v>452000</v>
      </c>
    </row>
    <row r="8" spans="1:14">
      <c r="F8" s="34">
        <v>45169</v>
      </c>
      <c r="G8" s="2">
        <v>138.62</v>
      </c>
    </row>
    <row r="12" spans="1:14">
      <c r="N12" s="18"/>
    </row>
    <row r="28" spans="2:2">
      <c r="B28" t="s">
        <v>21</v>
      </c>
    </row>
    <row r="31" spans="2:2">
      <c r="B31" t="s">
        <v>21</v>
      </c>
    </row>
  </sheetData>
  <phoneticPr fontId="1"/>
  <printOptions headings="1"/>
  <pageMargins left="0.70866141732283472" right="0.70866141732283472" top="0.74803149606299213" bottom="0.74803149606299213" header="0.31496062992125984" footer="0.31496062992125984"/>
  <pageSetup paperSize="9" orientation="landscape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04D00A-C30A-4154-82B7-E342B3F40071}">
  <dimension ref="A1:R33"/>
  <sheetViews>
    <sheetView workbookViewId="0"/>
  </sheetViews>
  <sheetFormatPr defaultRowHeight="13.5"/>
  <cols>
    <col min="1" max="1" width="10.5" bestFit="1" customWidth="1"/>
    <col min="2" max="2" width="7.5" bestFit="1" customWidth="1"/>
    <col min="3" max="3" width="7.5" customWidth="1"/>
    <col min="4" max="4" width="7.5" bestFit="1" customWidth="1"/>
    <col min="5" max="5" width="6.5" bestFit="1" customWidth="1"/>
    <col min="6" max="6" width="10.5" bestFit="1" customWidth="1"/>
    <col min="7" max="7" width="11.625" bestFit="1" customWidth="1"/>
    <col min="9" max="9" width="7.5" bestFit="1" customWidth="1"/>
    <col min="10" max="10" width="8.5" bestFit="1" customWidth="1"/>
    <col min="12" max="12" width="10.5" bestFit="1" customWidth="1"/>
    <col min="13" max="15" width="7.5" bestFit="1" customWidth="1"/>
    <col min="16" max="16" width="6.5" bestFit="1" customWidth="1"/>
    <col min="17" max="17" width="8.5" bestFit="1" customWidth="1"/>
    <col min="18" max="18" width="10.5" bestFit="1" customWidth="1"/>
  </cols>
  <sheetData>
    <row r="1" spans="1:18" ht="14.25" thickBot="1">
      <c r="A1" s="4" t="s">
        <v>17</v>
      </c>
      <c r="B1" s="5" t="s">
        <v>0</v>
      </c>
      <c r="C1" s="5" t="s">
        <v>22</v>
      </c>
      <c r="D1" s="5" t="s">
        <v>2</v>
      </c>
      <c r="E1" s="5" t="s">
        <v>5</v>
      </c>
      <c r="F1" s="5" t="s">
        <v>3</v>
      </c>
      <c r="G1" s="6" t="s">
        <v>18</v>
      </c>
      <c r="L1" s="36" t="s">
        <v>67</v>
      </c>
      <c r="M1" s="36"/>
      <c r="N1" s="36"/>
      <c r="O1" s="36"/>
      <c r="P1" s="36"/>
      <c r="Q1" s="36"/>
      <c r="R1" s="36"/>
    </row>
    <row r="2" spans="1:18">
      <c r="A2" s="23">
        <v>45092</v>
      </c>
      <c r="B2" s="2">
        <v>11</v>
      </c>
      <c r="C2" s="2" t="str">
        <f>VLOOKUP(B2,テーブル!$A$3:$D$7,2,0)</f>
        <v>商品Ｊ</v>
      </c>
      <c r="D2" s="21">
        <v>307</v>
      </c>
      <c r="E2" s="21">
        <f>ROUNDUP(VLOOKUP(B2,テーブル!$A$3:$D$7,3,0)*VLOOKUP(A2,テーブル!$F$3:$G$8,2,0),0)</f>
        <v>2810</v>
      </c>
      <c r="F2" s="21">
        <f t="shared" ref="F2:F31" si="0">ROUNDUP(IF(OR(D2&gt;=270,E2&gt;=3200),E2*D2*7.8%,E2*D2*6.7%),-1)</f>
        <v>67290</v>
      </c>
      <c r="G2" s="35">
        <f>E2*D2-F2</f>
        <v>795380</v>
      </c>
      <c r="H2" s="20"/>
      <c r="I2" s="4" t="s">
        <v>63</v>
      </c>
      <c r="J2" s="6" t="s">
        <v>64</v>
      </c>
      <c r="L2" s="4" t="s">
        <v>17</v>
      </c>
      <c r="M2" s="5" t="s">
        <v>0</v>
      </c>
      <c r="N2" s="5" t="s">
        <v>22</v>
      </c>
      <c r="O2" s="5" t="s">
        <v>2</v>
      </c>
      <c r="P2" s="5" t="s">
        <v>5</v>
      </c>
      <c r="Q2" s="5" t="s">
        <v>3</v>
      </c>
      <c r="R2" s="6" t="s">
        <v>18</v>
      </c>
    </row>
    <row r="3" spans="1:18">
      <c r="A3" s="23">
        <v>45092</v>
      </c>
      <c r="B3" s="2">
        <v>12</v>
      </c>
      <c r="C3" s="2" t="str">
        <f>VLOOKUP(B3,テーブル!$A$3:$D$7,2,0)</f>
        <v>商品Ｋ</v>
      </c>
      <c r="D3" s="21">
        <v>216</v>
      </c>
      <c r="E3" s="21">
        <f>ROUNDUP(VLOOKUP(B3,テーブル!$A$3:$D$7,3,0)*VLOOKUP(A3,テーブル!$F$3:$G$8,2,0),0)</f>
        <v>3194</v>
      </c>
      <c r="F3" s="21">
        <f t="shared" si="0"/>
        <v>46230</v>
      </c>
      <c r="G3" s="35">
        <f t="shared" ref="G3:G31" si="1">E3*D3-F3</f>
        <v>643674</v>
      </c>
      <c r="I3" s="7" t="s">
        <v>65</v>
      </c>
      <c r="J3" s="9"/>
      <c r="L3" s="23">
        <v>45092</v>
      </c>
      <c r="M3" s="2">
        <v>14</v>
      </c>
      <c r="N3" s="2" t="s">
        <v>38</v>
      </c>
      <c r="O3" s="21">
        <v>174</v>
      </c>
      <c r="P3" s="21">
        <v>3379</v>
      </c>
      <c r="Q3" s="21">
        <v>45860</v>
      </c>
      <c r="R3" s="35">
        <v>542086</v>
      </c>
    </row>
    <row r="4" spans="1:18" ht="14.25" thickBot="1">
      <c r="A4" s="23">
        <v>45092</v>
      </c>
      <c r="B4" s="2">
        <v>13</v>
      </c>
      <c r="C4" s="2" t="str">
        <f>VLOOKUP(B4,テーブル!$A$3:$D$7,2,0)</f>
        <v>商品Ｌ</v>
      </c>
      <c r="D4" s="21">
        <v>257</v>
      </c>
      <c r="E4" s="21">
        <f>ROUNDUP(VLOOKUP(B4,テーブル!$A$3:$D$7,3,0)*VLOOKUP(A4,テーブル!$F$3:$G$8,2,0),0)</f>
        <v>2559</v>
      </c>
      <c r="F4" s="21">
        <f t="shared" si="0"/>
        <v>44070</v>
      </c>
      <c r="G4" s="35">
        <f t="shared" si="1"/>
        <v>613593</v>
      </c>
      <c r="I4" s="10"/>
      <c r="J4" s="24" t="s">
        <v>66</v>
      </c>
      <c r="L4" s="23">
        <v>45107</v>
      </c>
      <c r="M4" s="2">
        <v>11</v>
      </c>
      <c r="N4" s="2" t="s">
        <v>32</v>
      </c>
      <c r="O4" s="21">
        <v>203</v>
      </c>
      <c r="P4" s="21">
        <v>2780</v>
      </c>
      <c r="Q4" s="21">
        <v>37820</v>
      </c>
      <c r="R4" s="35">
        <v>526520</v>
      </c>
    </row>
    <row r="5" spans="1:18">
      <c r="A5" s="23">
        <v>45092</v>
      </c>
      <c r="B5" s="2">
        <v>14</v>
      </c>
      <c r="C5" s="2" t="str">
        <f>VLOOKUP(B5,テーブル!$A$3:$D$7,2,0)</f>
        <v>商品Ｍ</v>
      </c>
      <c r="D5" s="21">
        <v>174</v>
      </c>
      <c r="E5" s="21">
        <f>ROUNDUP(VLOOKUP(B5,テーブル!$A$3:$D$7,3,0)*VLOOKUP(A5,テーブル!$F$3:$G$8,2,0),0)</f>
        <v>3379</v>
      </c>
      <c r="F5" s="21">
        <f t="shared" si="0"/>
        <v>45860</v>
      </c>
      <c r="G5" s="35">
        <f t="shared" si="1"/>
        <v>542086</v>
      </c>
      <c r="L5" s="23">
        <v>45107</v>
      </c>
      <c r="M5" s="2">
        <v>13</v>
      </c>
      <c r="N5" s="2" t="s">
        <v>36</v>
      </c>
      <c r="O5" s="21">
        <v>204</v>
      </c>
      <c r="P5" s="21">
        <v>2532</v>
      </c>
      <c r="Q5" s="21">
        <v>34610</v>
      </c>
      <c r="R5" s="35">
        <v>481918</v>
      </c>
    </row>
    <row r="6" spans="1:18">
      <c r="A6" s="23">
        <v>45092</v>
      </c>
      <c r="B6" s="2">
        <v>15</v>
      </c>
      <c r="C6" s="2" t="str">
        <f>VLOOKUP(B6,テーブル!$A$3:$D$7,2,0)</f>
        <v>商品Ｎ</v>
      </c>
      <c r="D6" s="21">
        <v>250</v>
      </c>
      <c r="E6" s="21">
        <f>ROUNDUP(VLOOKUP(B6,テーブル!$A$3:$D$7,3,0)*VLOOKUP(A6,テーブル!$F$3:$G$8,2,0),0)</f>
        <v>2734</v>
      </c>
      <c r="F6" s="21">
        <f t="shared" si="0"/>
        <v>45800</v>
      </c>
      <c r="G6" s="35">
        <f t="shared" si="1"/>
        <v>637700</v>
      </c>
      <c r="L6" s="23">
        <v>45138</v>
      </c>
      <c r="M6" s="2">
        <v>13</v>
      </c>
      <c r="N6" s="2" t="s">
        <v>36</v>
      </c>
      <c r="O6" s="21">
        <v>228</v>
      </c>
      <c r="P6" s="21">
        <v>2523</v>
      </c>
      <c r="Q6" s="21">
        <v>38550</v>
      </c>
      <c r="R6" s="35">
        <v>536694</v>
      </c>
    </row>
    <row r="7" spans="1:18">
      <c r="A7" s="23">
        <v>45107</v>
      </c>
      <c r="B7" s="2">
        <v>11</v>
      </c>
      <c r="C7" s="2" t="str">
        <f>VLOOKUP(B7,テーブル!$A$3:$D$7,2,0)</f>
        <v>商品Ｊ</v>
      </c>
      <c r="D7" s="21">
        <v>203</v>
      </c>
      <c r="E7" s="21">
        <f>ROUNDUP(VLOOKUP(B7,テーブル!$A$3:$D$7,3,0)*VLOOKUP(A7,テーブル!$F$3:$G$8,2,0),0)</f>
        <v>2780</v>
      </c>
      <c r="F7" s="21">
        <f t="shared" si="0"/>
        <v>37820</v>
      </c>
      <c r="G7" s="35">
        <f t="shared" si="1"/>
        <v>526520</v>
      </c>
      <c r="L7" s="23">
        <v>45153</v>
      </c>
      <c r="M7" s="2">
        <v>12</v>
      </c>
      <c r="N7" s="2" t="s">
        <v>34</v>
      </c>
      <c r="O7" s="21">
        <v>197</v>
      </c>
      <c r="P7" s="21">
        <v>3161</v>
      </c>
      <c r="Q7" s="21">
        <v>41730</v>
      </c>
      <c r="R7" s="35">
        <v>580987</v>
      </c>
    </row>
    <row r="8" spans="1:18">
      <c r="A8" s="23">
        <v>45107</v>
      </c>
      <c r="B8" s="2">
        <v>12</v>
      </c>
      <c r="C8" s="2" t="str">
        <f>VLOOKUP(B8,テーブル!$A$3:$D$7,2,0)</f>
        <v>商品Ｋ</v>
      </c>
      <c r="D8" s="21">
        <v>311</v>
      </c>
      <c r="E8" s="21">
        <f>ROUNDUP(VLOOKUP(B8,テーブル!$A$3:$D$7,3,0)*VLOOKUP(A8,テーブル!$F$3:$G$8,2,0),0)</f>
        <v>3160</v>
      </c>
      <c r="F8" s="21">
        <f t="shared" si="0"/>
        <v>76660</v>
      </c>
      <c r="G8" s="35">
        <f t="shared" si="1"/>
        <v>906100</v>
      </c>
      <c r="L8" s="23">
        <v>45153</v>
      </c>
      <c r="M8" s="2">
        <v>13</v>
      </c>
      <c r="N8" s="2" t="s">
        <v>36</v>
      </c>
      <c r="O8" s="21">
        <v>200</v>
      </c>
      <c r="P8" s="21">
        <v>2532</v>
      </c>
      <c r="Q8" s="21">
        <v>33930</v>
      </c>
      <c r="R8" s="35">
        <v>472470</v>
      </c>
    </row>
    <row r="9" spans="1:18">
      <c r="A9" s="23">
        <v>45107</v>
      </c>
      <c r="B9" s="2">
        <v>13</v>
      </c>
      <c r="C9" s="2" t="str">
        <f>VLOOKUP(B9,テーブル!$A$3:$D$7,2,0)</f>
        <v>商品Ｌ</v>
      </c>
      <c r="D9" s="21">
        <v>204</v>
      </c>
      <c r="E9" s="21">
        <f>ROUNDUP(VLOOKUP(B9,テーブル!$A$3:$D$7,3,0)*VLOOKUP(A9,テーブル!$F$3:$G$8,2,0),0)</f>
        <v>2532</v>
      </c>
      <c r="F9" s="21">
        <f t="shared" si="0"/>
        <v>34610</v>
      </c>
      <c r="G9" s="35">
        <f t="shared" si="1"/>
        <v>481918</v>
      </c>
      <c r="L9" s="23">
        <v>45169</v>
      </c>
      <c r="M9" s="2">
        <v>14</v>
      </c>
      <c r="N9" s="2" t="s">
        <v>38</v>
      </c>
      <c r="O9" s="21">
        <v>195</v>
      </c>
      <c r="P9" s="21">
        <v>3398</v>
      </c>
      <c r="Q9" s="21">
        <v>51690</v>
      </c>
      <c r="R9" s="35">
        <v>610920</v>
      </c>
    </row>
    <row r="10" spans="1:18">
      <c r="A10" s="23">
        <v>45107</v>
      </c>
      <c r="B10" s="2">
        <v>14</v>
      </c>
      <c r="C10" s="2" t="str">
        <f>VLOOKUP(B10,テーブル!$A$3:$D$7,2,0)</f>
        <v>商品Ｍ</v>
      </c>
      <c r="D10" s="21">
        <v>218</v>
      </c>
      <c r="E10" s="21">
        <f>ROUNDUP(VLOOKUP(B10,テーブル!$A$3:$D$7,3,0)*VLOOKUP(A10,テーブル!$F$3:$G$8,2,0),0)</f>
        <v>3343</v>
      </c>
      <c r="F10" s="21">
        <f t="shared" si="0"/>
        <v>56850</v>
      </c>
      <c r="G10" s="35">
        <f t="shared" si="1"/>
        <v>671924</v>
      </c>
      <c r="L10" s="23">
        <v>45169</v>
      </c>
      <c r="M10" s="2">
        <v>12</v>
      </c>
      <c r="N10" s="2" t="s">
        <v>34</v>
      </c>
      <c r="O10" s="21">
        <v>198</v>
      </c>
      <c r="P10" s="21">
        <v>3212</v>
      </c>
      <c r="Q10" s="21">
        <v>49610</v>
      </c>
      <c r="R10" s="35">
        <v>586366</v>
      </c>
    </row>
    <row r="11" spans="1:18">
      <c r="A11" s="23">
        <v>45107</v>
      </c>
      <c r="B11" s="2">
        <v>15</v>
      </c>
      <c r="C11" s="2" t="str">
        <f>VLOOKUP(B11,テーブル!$A$3:$D$7,2,0)</f>
        <v>商品Ｎ</v>
      </c>
      <c r="D11" s="21">
        <v>240</v>
      </c>
      <c r="E11" s="21">
        <f>ROUNDUP(VLOOKUP(B11,テーブル!$A$3:$D$7,3,0)*VLOOKUP(A11,テーブル!$F$3:$G$8,2,0),0)</f>
        <v>2705</v>
      </c>
      <c r="F11" s="21">
        <f t="shared" si="0"/>
        <v>43500</v>
      </c>
      <c r="G11" s="35">
        <f t="shared" si="1"/>
        <v>605700</v>
      </c>
      <c r="L11" s="7"/>
      <c r="M11" s="2"/>
      <c r="N11" s="2"/>
      <c r="O11" s="2"/>
      <c r="P11" s="2"/>
      <c r="Q11" s="2"/>
      <c r="R11" s="9"/>
    </row>
    <row r="12" spans="1:18" ht="14.25" thickBot="1">
      <c r="A12" s="23">
        <v>45122</v>
      </c>
      <c r="B12" s="2">
        <v>11</v>
      </c>
      <c r="C12" s="2" t="str">
        <f>VLOOKUP(B12,テーブル!$A$3:$D$7,2,0)</f>
        <v>商品Ｊ</v>
      </c>
      <c r="D12" s="21">
        <v>270</v>
      </c>
      <c r="E12" s="21">
        <f>ROUNDUP(VLOOKUP(B12,テーブル!$A$3:$D$7,3,0)*VLOOKUP(A12,テーブル!$F$3:$G$8,2,0),0)</f>
        <v>2732</v>
      </c>
      <c r="F12" s="21">
        <f t="shared" si="0"/>
        <v>57540</v>
      </c>
      <c r="G12" s="35">
        <f t="shared" si="1"/>
        <v>680100</v>
      </c>
      <c r="L12" s="25"/>
      <c r="M12" s="22"/>
      <c r="N12" s="11" t="s">
        <v>26</v>
      </c>
      <c r="O12" s="12">
        <f>SUM(O3:O10)</f>
        <v>1599</v>
      </c>
      <c r="P12" s="22"/>
      <c r="Q12" s="12">
        <f t="shared" ref="Q12:R12" si="2">SUM(Q3:Q10)</f>
        <v>333800</v>
      </c>
      <c r="R12" s="15">
        <f t="shared" si="2"/>
        <v>4337961</v>
      </c>
    </row>
    <row r="13" spans="1:18">
      <c r="A13" s="23">
        <v>45122</v>
      </c>
      <c r="B13" s="2">
        <v>12</v>
      </c>
      <c r="C13" s="2" t="str">
        <f>VLOOKUP(B13,テーブル!$A$3:$D$7,2,0)</f>
        <v>商品Ｋ</v>
      </c>
      <c r="D13" s="21">
        <v>206</v>
      </c>
      <c r="E13" s="21">
        <f>ROUNDUP(VLOOKUP(B13,テーブル!$A$3:$D$7,3,0)*VLOOKUP(A13,テーブル!$F$3:$G$8,2,0),0)</f>
        <v>3106</v>
      </c>
      <c r="F13" s="21">
        <f t="shared" si="0"/>
        <v>42870</v>
      </c>
      <c r="G13" s="35">
        <f t="shared" si="1"/>
        <v>596966</v>
      </c>
    </row>
    <row r="14" spans="1:18">
      <c r="A14" s="23">
        <v>45122</v>
      </c>
      <c r="B14" s="2">
        <v>13</v>
      </c>
      <c r="C14" s="2" t="str">
        <f>VLOOKUP(B14,テーブル!$A$3:$D$7,2,0)</f>
        <v>商品Ｌ</v>
      </c>
      <c r="D14" s="21">
        <v>239</v>
      </c>
      <c r="E14" s="21">
        <f>ROUNDUP(VLOOKUP(B14,テーブル!$A$3:$D$7,3,0)*VLOOKUP(A14,テーブル!$F$3:$G$8,2,0),0)</f>
        <v>2488</v>
      </c>
      <c r="F14" s="21">
        <f t="shared" si="0"/>
        <v>39850</v>
      </c>
      <c r="G14" s="35">
        <f t="shared" si="1"/>
        <v>554782</v>
      </c>
    </row>
    <row r="15" spans="1:18">
      <c r="A15" s="23">
        <v>45122</v>
      </c>
      <c r="B15" s="2">
        <v>14</v>
      </c>
      <c r="C15" s="2" t="str">
        <f>VLOOKUP(B15,テーブル!$A$3:$D$7,2,0)</f>
        <v>商品Ｍ</v>
      </c>
      <c r="D15" s="21">
        <v>230</v>
      </c>
      <c r="E15" s="21">
        <f>ROUNDUP(VLOOKUP(B15,テーブル!$A$3:$D$7,3,0)*VLOOKUP(A15,テーブル!$F$3:$G$8,2,0),0)</f>
        <v>3286</v>
      </c>
      <c r="F15" s="21">
        <f t="shared" si="0"/>
        <v>58960</v>
      </c>
      <c r="G15" s="35">
        <f t="shared" si="1"/>
        <v>696820</v>
      </c>
    </row>
    <row r="16" spans="1:18">
      <c r="A16" s="23">
        <v>45122</v>
      </c>
      <c r="B16" s="2">
        <v>15</v>
      </c>
      <c r="C16" s="2" t="str">
        <f>VLOOKUP(B16,テーブル!$A$3:$D$7,2,0)</f>
        <v>商品Ｎ</v>
      </c>
      <c r="D16" s="21">
        <v>261</v>
      </c>
      <c r="E16" s="21">
        <f>ROUNDUP(VLOOKUP(B16,テーブル!$A$3:$D$7,3,0)*VLOOKUP(A16,テーブル!$F$3:$G$8,2,0),0)</f>
        <v>2659</v>
      </c>
      <c r="F16" s="21">
        <f t="shared" si="0"/>
        <v>46500</v>
      </c>
      <c r="G16" s="35">
        <f t="shared" si="1"/>
        <v>647499</v>
      </c>
    </row>
    <row r="17" spans="1:7">
      <c r="A17" s="23">
        <v>45138</v>
      </c>
      <c r="B17" s="2">
        <v>11</v>
      </c>
      <c r="C17" s="2" t="str">
        <f>VLOOKUP(B17,テーブル!$A$3:$D$7,2,0)</f>
        <v>商品Ｊ</v>
      </c>
      <c r="D17" s="21">
        <v>273</v>
      </c>
      <c r="E17" s="21">
        <f>ROUNDUP(VLOOKUP(B17,テーブル!$A$3:$D$7,3,0)*VLOOKUP(A17,テーブル!$F$3:$G$8,2,0),0)</f>
        <v>2771</v>
      </c>
      <c r="F17" s="21">
        <f t="shared" si="0"/>
        <v>59010</v>
      </c>
      <c r="G17" s="35">
        <f t="shared" si="1"/>
        <v>697473</v>
      </c>
    </row>
    <row r="18" spans="1:7">
      <c r="A18" s="23">
        <v>45138</v>
      </c>
      <c r="B18" s="2">
        <v>12</v>
      </c>
      <c r="C18" s="2" t="str">
        <f>VLOOKUP(B18,テーブル!$A$3:$D$7,2,0)</f>
        <v>商品Ｋ</v>
      </c>
      <c r="D18" s="21">
        <v>220</v>
      </c>
      <c r="E18" s="21">
        <f>ROUNDUP(VLOOKUP(B18,テーブル!$A$3:$D$7,3,0)*VLOOKUP(A18,テーブル!$F$3:$G$8,2,0),0)</f>
        <v>3150</v>
      </c>
      <c r="F18" s="21">
        <f t="shared" si="0"/>
        <v>46440</v>
      </c>
      <c r="G18" s="35">
        <f t="shared" si="1"/>
        <v>646560</v>
      </c>
    </row>
    <row r="19" spans="1:7">
      <c r="A19" s="23">
        <v>45138</v>
      </c>
      <c r="B19" s="2">
        <v>13</v>
      </c>
      <c r="C19" s="2" t="str">
        <f>VLOOKUP(B19,テーブル!$A$3:$D$7,2,0)</f>
        <v>商品Ｌ</v>
      </c>
      <c r="D19" s="21">
        <v>228</v>
      </c>
      <c r="E19" s="21">
        <f>ROUNDUP(VLOOKUP(B19,テーブル!$A$3:$D$7,3,0)*VLOOKUP(A19,テーブル!$F$3:$G$8,2,0),0)</f>
        <v>2523</v>
      </c>
      <c r="F19" s="21">
        <f t="shared" si="0"/>
        <v>38550</v>
      </c>
      <c r="G19" s="35">
        <f t="shared" si="1"/>
        <v>536694</v>
      </c>
    </row>
    <row r="20" spans="1:7">
      <c r="A20" s="23">
        <v>45138</v>
      </c>
      <c r="B20" s="2">
        <v>14</v>
      </c>
      <c r="C20" s="2" t="str">
        <f>VLOOKUP(B20,テーブル!$A$3:$D$7,2,0)</f>
        <v>商品Ｍ</v>
      </c>
      <c r="D20" s="21">
        <v>264</v>
      </c>
      <c r="E20" s="21">
        <f>ROUNDUP(VLOOKUP(B20,テーブル!$A$3:$D$7,3,0)*VLOOKUP(A20,テーブル!$F$3:$G$8,2,0),0)</f>
        <v>3332</v>
      </c>
      <c r="F20" s="21">
        <f t="shared" si="0"/>
        <v>68620</v>
      </c>
      <c r="G20" s="35">
        <f t="shared" si="1"/>
        <v>811028</v>
      </c>
    </row>
    <row r="21" spans="1:7">
      <c r="A21" s="23">
        <v>45138</v>
      </c>
      <c r="B21" s="2">
        <v>15</v>
      </c>
      <c r="C21" s="2" t="str">
        <f>VLOOKUP(B21,テーブル!$A$3:$D$7,2,0)</f>
        <v>商品Ｎ</v>
      </c>
      <c r="D21" s="21">
        <v>259</v>
      </c>
      <c r="E21" s="21">
        <f>ROUNDUP(VLOOKUP(B21,テーブル!$A$3:$D$7,3,0)*VLOOKUP(A21,テーブル!$F$3:$G$8,2,0),0)</f>
        <v>2696</v>
      </c>
      <c r="F21" s="21">
        <f t="shared" si="0"/>
        <v>46790</v>
      </c>
      <c r="G21" s="35">
        <f t="shared" si="1"/>
        <v>651474</v>
      </c>
    </row>
    <row r="22" spans="1:7">
      <c r="A22" s="23">
        <v>45153</v>
      </c>
      <c r="B22" s="2">
        <v>11</v>
      </c>
      <c r="C22" s="2" t="str">
        <f>VLOOKUP(B22,テーブル!$A$3:$D$7,2,0)</f>
        <v>商品Ｊ</v>
      </c>
      <c r="D22" s="21">
        <v>335</v>
      </c>
      <c r="E22" s="21">
        <f>ROUNDUP(VLOOKUP(B22,テーブル!$A$3:$D$7,3,0)*VLOOKUP(A22,テーブル!$F$3:$G$8,2,0),0)</f>
        <v>2781</v>
      </c>
      <c r="F22" s="21">
        <f t="shared" si="0"/>
        <v>72670</v>
      </c>
      <c r="G22" s="35">
        <f t="shared" si="1"/>
        <v>858965</v>
      </c>
    </row>
    <row r="23" spans="1:7">
      <c r="A23" s="23">
        <v>45153</v>
      </c>
      <c r="B23" s="2">
        <v>12</v>
      </c>
      <c r="C23" s="2" t="str">
        <f>VLOOKUP(B23,テーブル!$A$3:$D$7,2,0)</f>
        <v>商品Ｋ</v>
      </c>
      <c r="D23" s="21">
        <v>197</v>
      </c>
      <c r="E23" s="21">
        <f>ROUNDUP(VLOOKUP(B23,テーブル!$A$3:$D$7,3,0)*VLOOKUP(A23,テーブル!$F$3:$G$8,2,0),0)</f>
        <v>3161</v>
      </c>
      <c r="F23" s="21">
        <f t="shared" si="0"/>
        <v>41730</v>
      </c>
      <c r="G23" s="35">
        <f t="shared" si="1"/>
        <v>580987</v>
      </c>
    </row>
    <row r="24" spans="1:7">
      <c r="A24" s="23">
        <v>45153</v>
      </c>
      <c r="B24" s="2">
        <v>13</v>
      </c>
      <c r="C24" s="2" t="str">
        <f>VLOOKUP(B24,テーブル!$A$3:$D$7,2,0)</f>
        <v>商品Ｌ</v>
      </c>
      <c r="D24" s="21">
        <v>200</v>
      </c>
      <c r="E24" s="21">
        <f>ROUNDUP(VLOOKUP(B24,テーブル!$A$3:$D$7,3,0)*VLOOKUP(A24,テーブル!$F$3:$G$8,2,0),0)</f>
        <v>2532</v>
      </c>
      <c r="F24" s="21">
        <f t="shared" si="0"/>
        <v>33930</v>
      </c>
      <c r="G24" s="35">
        <f t="shared" si="1"/>
        <v>472470</v>
      </c>
    </row>
    <row r="25" spans="1:7">
      <c r="A25" s="23">
        <v>45153</v>
      </c>
      <c r="B25" s="2">
        <v>14</v>
      </c>
      <c r="C25" s="2" t="str">
        <f>VLOOKUP(B25,テーブル!$A$3:$D$7,2,0)</f>
        <v>商品Ｍ</v>
      </c>
      <c r="D25" s="21">
        <v>260</v>
      </c>
      <c r="E25" s="21">
        <f>ROUNDUP(VLOOKUP(B25,テーブル!$A$3:$D$7,3,0)*VLOOKUP(A25,テーブル!$F$3:$G$8,2,0),0)</f>
        <v>3344</v>
      </c>
      <c r="F25" s="21">
        <f t="shared" si="0"/>
        <v>67820</v>
      </c>
      <c r="G25" s="35">
        <f t="shared" si="1"/>
        <v>801620</v>
      </c>
    </row>
    <row r="26" spans="1:7">
      <c r="A26" s="23">
        <v>45153</v>
      </c>
      <c r="B26" s="2">
        <v>15</v>
      </c>
      <c r="C26" s="2" t="str">
        <f>VLOOKUP(B26,テーブル!$A$3:$D$7,2,0)</f>
        <v>商品Ｎ</v>
      </c>
      <c r="D26" s="21">
        <v>302</v>
      </c>
      <c r="E26" s="21">
        <f>ROUNDUP(VLOOKUP(B26,テーブル!$A$3:$D$7,3,0)*VLOOKUP(A26,テーブル!$F$3:$G$8,2,0),0)</f>
        <v>2706</v>
      </c>
      <c r="F26" s="21">
        <f t="shared" si="0"/>
        <v>63750</v>
      </c>
      <c r="G26" s="35">
        <f t="shared" si="1"/>
        <v>753462</v>
      </c>
    </row>
    <row r="27" spans="1:7">
      <c r="A27" s="23">
        <v>45169</v>
      </c>
      <c r="B27" s="2">
        <v>11</v>
      </c>
      <c r="C27" s="2" t="str">
        <f>VLOOKUP(B27,テーブル!$A$3:$D$7,2,0)</f>
        <v>商品Ｊ</v>
      </c>
      <c r="D27" s="21">
        <v>274</v>
      </c>
      <c r="E27" s="21">
        <f>ROUNDUP(VLOOKUP(B27,テーブル!$A$3:$D$7,3,0)*VLOOKUP(A27,テーブル!$F$3:$G$8,2,0),0)</f>
        <v>2826</v>
      </c>
      <c r="F27" s="21">
        <f t="shared" si="0"/>
        <v>60400</v>
      </c>
      <c r="G27" s="35">
        <f t="shared" si="1"/>
        <v>713924</v>
      </c>
    </row>
    <row r="28" spans="1:7">
      <c r="A28" s="23">
        <v>45169</v>
      </c>
      <c r="B28" s="2">
        <v>12</v>
      </c>
      <c r="C28" s="2" t="str">
        <f>VLOOKUP(B28,テーブル!$A$3:$D$7,2,0)</f>
        <v>商品Ｋ</v>
      </c>
      <c r="D28" s="21">
        <v>198</v>
      </c>
      <c r="E28" s="21">
        <f>ROUNDUP(VLOOKUP(B28,テーブル!$A$3:$D$7,3,0)*VLOOKUP(A28,テーブル!$F$3:$G$8,2,0),0)</f>
        <v>3212</v>
      </c>
      <c r="F28" s="21">
        <f t="shared" si="0"/>
        <v>49610</v>
      </c>
      <c r="G28" s="35">
        <f t="shared" si="1"/>
        <v>586366</v>
      </c>
    </row>
    <row r="29" spans="1:7">
      <c r="A29" s="23">
        <v>45169</v>
      </c>
      <c r="B29" s="2">
        <v>13</v>
      </c>
      <c r="C29" s="2" t="str">
        <f>VLOOKUP(B29,テーブル!$A$3:$D$7,2,0)</f>
        <v>商品Ｌ</v>
      </c>
      <c r="D29" s="21">
        <v>254</v>
      </c>
      <c r="E29" s="21">
        <f>ROUNDUP(VLOOKUP(B29,テーブル!$A$3:$D$7,3,0)*VLOOKUP(A29,テーブル!$F$3:$G$8,2,0),0)</f>
        <v>2573</v>
      </c>
      <c r="F29" s="21">
        <f t="shared" si="0"/>
        <v>43790</v>
      </c>
      <c r="G29" s="35">
        <f t="shared" si="1"/>
        <v>609752</v>
      </c>
    </row>
    <row r="30" spans="1:7">
      <c r="A30" s="23">
        <v>45169</v>
      </c>
      <c r="B30" s="2">
        <v>14</v>
      </c>
      <c r="C30" s="2" t="str">
        <f>VLOOKUP(B30,テーブル!$A$3:$D$7,2,0)</f>
        <v>商品Ｍ</v>
      </c>
      <c r="D30" s="21">
        <v>195</v>
      </c>
      <c r="E30" s="21">
        <f>ROUNDUP(VLOOKUP(B30,テーブル!$A$3:$D$7,3,0)*VLOOKUP(A30,テーブル!$F$3:$G$8,2,0),0)</f>
        <v>3398</v>
      </c>
      <c r="F30" s="21">
        <f t="shared" si="0"/>
        <v>51690</v>
      </c>
      <c r="G30" s="35">
        <f t="shared" si="1"/>
        <v>610920</v>
      </c>
    </row>
    <row r="31" spans="1:7">
      <c r="A31" s="23">
        <v>45169</v>
      </c>
      <c r="B31" s="2">
        <v>15</v>
      </c>
      <c r="C31" s="2" t="str">
        <f>VLOOKUP(B31,テーブル!$A$3:$D$7,2,0)</f>
        <v>商品Ｎ</v>
      </c>
      <c r="D31" s="21">
        <v>278</v>
      </c>
      <c r="E31" s="21">
        <f>ROUNDUP(VLOOKUP(B31,テーブル!$A$3:$D$7,3,0)*VLOOKUP(A31,テーブル!$F$3:$G$8,2,0),0)</f>
        <v>2749</v>
      </c>
      <c r="F31" s="21">
        <f t="shared" si="0"/>
        <v>59610</v>
      </c>
      <c r="G31" s="35">
        <f t="shared" si="1"/>
        <v>704612</v>
      </c>
    </row>
    <row r="32" spans="1:7">
      <c r="A32" s="7"/>
      <c r="B32" s="2"/>
      <c r="C32" s="2"/>
      <c r="D32" s="2"/>
      <c r="E32" s="2"/>
      <c r="F32" s="2"/>
      <c r="G32" s="9"/>
    </row>
    <row r="33" spans="1:7" ht="14.25" thickBot="1">
      <c r="A33" s="25"/>
      <c r="B33" s="22"/>
      <c r="C33" s="11" t="s">
        <v>26</v>
      </c>
      <c r="D33" s="12">
        <f>SUM(D2:D31)</f>
        <v>7323</v>
      </c>
      <c r="E33" s="22"/>
      <c r="F33" s="12">
        <f t="shared" ref="F33:G33" si="3">SUM(F2:F31)</f>
        <v>1548820</v>
      </c>
      <c r="G33" s="15">
        <f t="shared" si="3"/>
        <v>19637069</v>
      </c>
    </row>
  </sheetData>
  <sortState xmlns:xlrd2="http://schemas.microsoft.com/office/spreadsheetml/2017/richdata2" ref="L3:R10">
    <sortCondition ref="L3:L10"/>
    <sortCondition descending="1" ref="R3:R10"/>
  </sortState>
  <mergeCells count="1">
    <mergeCell ref="L1:R1"/>
  </mergeCells>
  <phoneticPr fontId="1"/>
  <printOptions headings="1"/>
  <pageMargins left="0.70866141732283472" right="0.70866141732283472" top="0.74803149606299213" bottom="0.74803149606299213" header="0.31496062992125984" footer="0.31496062992125984"/>
  <pageSetup paperSize="9" orientation="landscape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6A61E8-A291-48D6-81C6-5A199A7C45FB}">
  <dimension ref="A1:F28"/>
  <sheetViews>
    <sheetView workbookViewId="0"/>
  </sheetViews>
  <sheetFormatPr defaultRowHeight="13.5"/>
  <cols>
    <col min="1" max="1" width="7.5" bestFit="1" customWidth="1"/>
    <col min="2" max="2" width="10.5" bestFit="1" customWidth="1"/>
    <col min="3" max="3" width="7.5" bestFit="1" customWidth="1"/>
    <col min="4" max="4" width="7.5" customWidth="1"/>
    <col min="5" max="5" width="7.5" bestFit="1" customWidth="1"/>
    <col min="6" max="6" width="6.5" bestFit="1" customWidth="1"/>
  </cols>
  <sheetData>
    <row r="1" spans="1:6">
      <c r="A1" s="4" t="s">
        <v>8</v>
      </c>
      <c r="B1" s="26" t="s">
        <v>23</v>
      </c>
      <c r="C1" s="5" t="s">
        <v>0</v>
      </c>
      <c r="D1" s="5" t="s">
        <v>22</v>
      </c>
      <c r="E1" s="5" t="s">
        <v>10</v>
      </c>
      <c r="F1" s="6" t="s">
        <v>11</v>
      </c>
    </row>
    <row r="2" spans="1:6">
      <c r="A2" s="2" t="s">
        <v>54</v>
      </c>
      <c r="B2" s="27" t="str">
        <f>VLOOKUP(A2,テーブル!$I$3:$K$7,2,0)</f>
        <v>ニチトク</v>
      </c>
      <c r="C2" s="2">
        <v>11</v>
      </c>
      <c r="D2" s="2" t="str">
        <f>VLOOKUP(C2,テーブル!$A$3:$D$7,2,0)</f>
        <v>商品Ｊ</v>
      </c>
      <c r="E2" s="32">
        <v>354</v>
      </c>
      <c r="F2" s="8">
        <f>ROUNDUP(VLOOKUP(C2,テーブル!$A$3:$D$7,4,0)*(1-VLOOKUP(RIGHT(A2,1),テーブル!$M$3:$N$5,2,0)),0)</f>
        <v>3260</v>
      </c>
    </row>
    <row r="3" spans="1:6">
      <c r="A3" s="2" t="s">
        <v>54</v>
      </c>
      <c r="B3" s="27" t="str">
        <f>VLOOKUP(A3,テーブル!$I$3:$K$7,2,0)</f>
        <v>ニチトク</v>
      </c>
      <c r="C3" s="2">
        <v>12</v>
      </c>
      <c r="D3" s="2" t="str">
        <f>VLOOKUP(C3,テーブル!$A$3:$D$7,2,0)</f>
        <v>商品Ｋ</v>
      </c>
      <c r="E3" s="32">
        <v>103</v>
      </c>
      <c r="F3" s="8">
        <f>ROUNDUP(VLOOKUP(C3,テーブル!$A$3:$D$7,4,0)*(1-VLOOKUP(RIGHT(A3,1),テーブル!$M$3:$N$5,2,0)),0)</f>
        <v>3769</v>
      </c>
    </row>
    <row r="4" spans="1:6">
      <c r="A4" s="2" t="s">
        <v>54</v>
      </c>
      <c r="B4" s="27" t="str">
        <f>VLOOKUP(A4,テーブル!$I$3:$K$7,2,0)</f>
        <v>ニチトク</v>
      </c>
      <c r="C4" s="2">
        <v>13</v>
      </c>
      <c r="D4" s="2" t="str">
        <f>VLOOKUP(C4,テーブル!$A$3:$D$7,2,0)</f>
        <v>商品Ｌ</v>
      </c>
      <c r="E4" s="32">
        <v>320</v>
      </c>
      <c r="F4" s="8">
        <f>ROUNDUP(VLOOKUP(C4,テーブル!$A$3:$D$7,4,0)*(1-VLOOKUP(RIGHT(A4,1),テーブル!$M$3:$N$5,2,0)),0)</f>
        <v>3019</v>
      </c>
    </row>
    <row r="5" spans="1:6">
      <c r="A5" s="2" t="s">
        <v>54</v>
      </c>
      <c r="B5" s="27" t="str">
        <f>VLOOKUP(A5,テーブル!$I$3:$K$7,2,0)</f>
        <v>ニチトク</v>
      </c>
      <c r="C5" s="2">
        <v>14</v>
      </c>
      <c r="D5" s="2" t="str">
        <f>VLOOKUP(C5,テーブル!$A$3:$D$7,2,0)</f>
        <v>商品Ｍ</v>
      </c>
      <c r="E5" s="32">
        <v>197</v>
      </c>
      <c r="F5" s="8">
        <f>ROUNDUP(VLOOKUP(C5,テーブル!$A$3:$D$7,4,0)*(1-VLOOKUP(RIGHT(A5,1),テーブル!$M$3:$N$5,2,0)),0)</f>
        <v>4066</v>
      </c>
    </row>
    <row r="6" spans="1:6">
      <c r="A6" s="2" t="s">
        <v>54</v>
      </c>
      <c r="B6" s="27" t="str">
        <f>VLOOKUP(A6,テーブル!$I$3:$K$7,2,0)</f>
        <v>ニチトク</v>
      </c>
      <c r="C6" s="2">
        <v>15</v>
      </c>
      <c r="D6" s="2" t="str">
        <f>VLOOKUP(C6,テーブル!$A$3:$D$7,2,0)</f>
        <v>商品Ｎ</v>
      </c>
      <c r="E6" s="32">
        <v>284</v>
      </c>
      <c r="F6" s="8">
        <f>ROUNDUP(VLOOKUP(C6,テーブル!$A$3:$D$7,4,0)*(1-VLOOKUP(RIGHT(A6,1),テーブル!$M$3:$N$5,2,0)),0)</f>
        <v>3223</v>
      </c>
    </row>
    <row r="7" spans="1:6">
      <c r="A7" s="2" t="s">
        <v>56</v>
      </c>
      <c r="B7" s="27" t="str">
        <f>VLOOKUP(A7,テーブル!$I$3:$K$7,2,0)</f>
        <v>ＴＫ総業</v>
      </c>
      <c r="C7" s="2">
        <v>11</v>
      </c>
      <c r="D7" s="2" t="str">
        <f>VLOOKUP(C7,テーブル!$A$3:$D$7,2,0)</f>
        <v>商品Ｊ</v>
      </c>
      <c r="E7" s="32">
        <v>254</v>
      </c>
      <c r="F7" s="8">
        <f>ROUNDUP(VLOOKUP(C7,テーブル!$A$3:$D$7,4,0)*(1-VLOOKUP(RIGHT(A7,1),テーブル!$M$3:$N$5,2,0)),0)</f>
        <v>3292</v>
      </c>
    </row>
    <row r="8" spans="1:6">
      <c r="A8" s="2" t="s">
        <v>56</v>
      </c>
      <c r="B8" s="27" t="str">
        <f>VLOOKUP(A8,テーブル!$I$3:$K$7,2,0)</f>
        <v>ＴＫ総業</v>
      </c>
      <c r="C8" s="2">
        <v>12</v>
      </c>
      <c r="D8" s="2" t="str">
        <f>VLOOKUP(C8,テーブル!$A$3:$D$7,2,0)</f>
        <v>商品Ｋ</v>
      </c>
      <c r="E8" s="32">
        <v>430</v>
      </c>
      <c r="F8" s="8">
        <f>ROUNDUP(VLOOKUP(C8,テーブル!$A$3:$D$7,4,0)*(1-VLOOKUP(RIGHT(A8,1),テーブル!$M$3:$N$5,2,0)),0)</f>
        <v>3806</v>
      </c>
    </row>
    <row r="9" spans="1:6">
      <c r="A9" s="2" t="s">
        <v>56</v>
      </c>
      <c r="B9" s="27" t="str">
        <f>VLOOKUP(A9,テーブル!$I$3:$K$7,2,0)</f>
        <v>ＴＫ総業</v>
      </c>
      <c r="C9" s="2">
        <v>13</v>
      </c>
      <c r="D9" s="2" t="str">
        <f>VLOOKUP(C9,テーブル!$A$3:$D$7,2,0)</f>
        <v>商品Ｌ</v>
      </c>
      <c r="E9" s="32">
        <v>170</v>
      </c>
      <c r="F9" s="8">
        <f>ROUNDUP(VLOOKUP(C9,テーブル!$A$3:$D$7,4,0)*(1-VLOOKUP(RIGHT(A9,1),テーブル!$M$3:$N$5,2,0)),0)</f>
        <v>3049</v>
      </c>
    </row>
    <row r="10" spans="1:6">
      <c r="A10" s="2" t="s">
        <v>56</v>
      </c>
      <c r="B10" s="27" t="str">
        <f>VLOOKUP(A10,テーブル!$I$3:$K$7,2,0)</f>
        <v>ＴＫ総業</v>
      </c>
      <c r="C10" s="2">
        <v>14</v>
      </c>
      <c r="D10" s="2" t="str">
        <f>VLOOKUP(C10,テーブル!$A$3:$D$7,2,0)</f>
        <v>商品Ｍ</v>
      </c>
      <c r="E10" s="32">
        <v>361</v>
      </c>
      <c r="F10" s="8">
        <f>ROUNDUP(VLOOKUP(C10,テーブル!$A$3:$D$7,4,0)*(1-VLOOKUP(RIGHT(A10,1),テーブル!$M$3:$N$5,2,0)),0)</f>
        <v>4105</v>
      </c>
    </row>
    <row r="11" spans="1:6">
      <c r="A11" s="2" t="s">
        <v>56</v>
      </c>
      <c r="B11" s="27" t="str">
        <f>VLOOKUP(A11,テーブル!$I$3:$K$7,2,0)</f>
        <v>ＴＫ総業</v>
      </c>
      <c r="C11" s="2">
        <v>15</v>
      </c>
      <c r="D11" s="2" t="str">
        <f>VLOOKUP(C11,テーブル!$A$3:$D$7,2,0)</f>
        <v>商品Ｎ</v>
      </c>
      <c r="E11" s="32">
        <v>328</v>
      </c>
      <c r="F11" s="8">
        <f>ROUNDUP(VLOOKUP(C11,テーブル!$A$3:$D$7,4,0)*(1-VLOOKUP(RIGHT(A11,1),テーブル!$M$3:$N$5,2,0)),0)</f>
        <v>3254</v>
      </c>
    </row>
    <row r="12" spans="1:6">
      <c r="A12" s="2" t="s">
        <v>58</v>
      </c>
      <c r="B12" s="27" t="str">
        <f>VLOOKUP(A12,テーブル!$I$3:$K$7,2,0)</f>
        <v xml:space="preserve">ＡＢＳＹ </v>
      </c>
      <c r="C12" s="2">
        <v>11</v>
      </c>
      <c r="D12" s="2" t="str">
        <f>VLOOKUP(C12,テーブル!$A$3:$D$7,2,0)</f>
        <v>商品Ｊ</v>
      </c>
      <c r="E12" s="32">
        <v>275</v>
      </c>
      <c r="F12" s="8">
        <f>ROUNDUP(VLOOKUP(C12,テーブル!$A$3:$D$7,4,0)*(1-VLOOKUP(RIGHT(A12,1),テーブル!$M$3:$N$5,2,0)),0)</f>
        <v>3228</v>
      </c>
    </row>
    <row r="13" spans="1:6">
      <c r="A13" s="2" t="s">
        <v>58</v>
      </c>
      <c r="B13" s="27" t="str">
        <f>VLOOKUP(A13,テーブル!$I$3:$K$7,2,0)</f>
        <v xml:space="preserve">ＡＢＳＹ </v>
      </c>
      <c r="C13" s="2">
        <v>12</v>
      </c>
      <c r="D13" s="2" t="str">
        <f>VLOOKUP(C13,テーブル!$A$3:$D$7,2,0)</f>
        <v>商品Ｋ</v>
      </c>
      <c r="E13" s="32">
        <v>309</v>
      </c>
      <c r="F13" s="8">
        <f>ROUNDUP(VLOOKUP(C13,テーブル!$A$3:$D$7,4,0)*(1-VLOOKUP(RIGHT(A13,1),テーブル!$M$3:$N$5,2,0)),0)</f>
        <v>3733</v>
      </c>
    </row>
    <row r="14" spans="1:6">
      <c r="A14" s="2" t="s">
        <v>58</v>
      </c>
      <c r="B14" s="27" t="str">
        <f>VLOOKUP(A14,テーブル!$I$3:$K$7,2,0)</f>
        <v xml:space="preserve">ＡＢＳＹ </v>
      </c>
      <c r="C14" s="2">
        <v>13</v>
      </c>
      <c r="D14" s="2" t="str">
        <f>VLOOKUP(C14,テーブル!$A$3:$D$7,2,0)</f>
        <v>商品Ｌ</v>
      </c>
      <c r="E14" s="32">
        <v>256</v>
      </c>
      <c r="F14" s="8">
        <f>ROUNDUP(VLOOKUP(C14,テーブル!$A$3:$D$7,4,0)*(1-VLOOKUP(RIGHT(A14,1),テーブル!$M$3:$N$5,2,0)),0)</f>
        <v>2990</v>
      </c>
    </row>
    <row r="15" spans="1:6">
      <c r="A15" s="2" t="s">
        <v>58</v>
      </c>
      <c r="B15" s="27" t="str">
        <f>VLOOKUP(A15,テーブル!$I$3:$K$7,2,0)</f>
        <v xml:space="preserve">ＡＢＳＹ </v>
      </c>
      <c r="C15" s="2">
        <v>14</v>
      </c>
      <c r="D15" s="2" t="str">
        <f>VLOOKUP(C15,テーブル!$A$3:$D$7,2,0)</f>
        <v>商品Ｍ</v>
      </c>
      <c r="E15" s="32">
        <v>231</v>
      </c>
      <c r="F15" s="8">
        <f>ROUNDUP(VLOOKUP(C15,テーブル!$A$3:$D$7,4,0)*(1-VLOOKUP(RIGHT(A15,1),テーブル!$M$3:$N$5,2,0)),0)</f>
        <v>4026</v>
      </c>
    </row>
    <row r="16" spans="1:6">
      <c r="A16" s="2" t="s">
        <v>58</v>
      </c>
      <c r="B16" s="27" t="str">
        <f>VLOOKUP(A16,テーブル!$I$3:$K$7,2,0)</f>
        <v xml:space="preserve">ＡＢＳＹ </v>
      </c>
      <c r="C16" s="2">
        <v>15</v>
      </c>
      <c r="D16" s="2" t="str">
        <f>VLOOKUP(C16,テーブル!$A$3:$D$7,2,0)</f>
        <v>商品Ｎ</v>
      </c>
      <c r="E16" s="32">
        <v>337</v>
      </c>
      <c r="F16" s="8">
        <f>ROUNDUP(VLOOKUP(C16,テーブル!$A$3:$D$7,4,0)*(1-VLOOKUP(RIGHT(A16,1),テーブル!$M$3:$N$5,2,0)),0)</f>
        <v>3192</v>
      </c>
    </row>
    <row r="17" spans="1:6">
      <c r="A17" s="2" t="s">
        <v>60</v>
      </c>
      <c r="B17" s="27" t="str">
        <f>VLOOKUP(A17,テーブル!$I$3:$K$7,2,0)</f>
        <v>朝倉商事</v>
      </c>
      <c r="C17" s="2">
        <v>11</v>
      </c>
      <c r="D17" s="2" t="str">
        <f>VLOOKUP(C17,テーブル!$A$3:$D$7,2,0)</f>
        <v>商品Ｊ</v>
      </c>
      <c r="E17" s="32">
        <v>409</v>
      </c>
      <c r="F17" s="8">
        <f>ROUNDUP(VLOOKUP(C17,テーブル!$A$3:$D$7,4,0)*(1-VLOOKUP(RIGHT(A17,1),テーブル!$M$3:$N$5,2,0)),0)</f>
        <v>3260</v>
      </c>
    </row>
    <row r="18" spans="1:6">
      <c r="A18" s="2" t="s">
        <v>60</v>
      </c>
      <c r="B18" s="27" t="str">
        <f>VLOOKUP(A18,テーブル!$I$3:$K$7,2,0)</f>
        <v>朝倉商事</v>
      </c>
      <c r="C18" s="2">
        <v>12</v>
      </c>
      <c r="D18" s="2" t="str">
        <f>VLOOKUP(C18,テーブル!$A$3:$D$7,2,0)</f>
        <v>商品Ｋ</v>
      </c>
      <c r="E18" s="32">
        <v>273</v>
      </c>
      <c r="F18" s="8">
        <f>ROUNDUP(VLOOKUP(C18,テーブル!$A$3:$D$7,4,0)*(1-VLOOKUP(RIGHT(A18,1),テーブル!$M$3:$N$5,2,0)),0)</f>
        <v>3769</v>
      </c>
    </row>
    <row r="19" spans="1:6">
      <c r="A19" s="2" t="s">
        <v>60</v>
      </c>
      <c r="B19" s="27" t="str">
        <f>VLOOKUP(A19,テーブル!$I$3:$K$7,2,0)</f>
        <v>朝倉商事</v>
      </c>
      <c r="C19" s="2">
        <v>13</v>
      </c>
      <c r="D19" s="2" t="str">
        <f>VLOOKUP(C19,テーブル!$A$3:$D$7,2,0)</f>
        <v>商品Ｌ</v>
      </c>
      <c r="E19" s="32">
        <v>259</v>
      </c>
      <c r="F19" s="8">
        <f>ROUNDUP(VLOOKUP(C19,テーブル!$A$3:$D$7,4,0)*(1-VLOOKUP(RIGHT(A19,1),テーブル!$M$3:$N$5,2,0)),0)</f>
        <v>3019</v>
      </c>
    </row>
    <row r="20" spans="1:6">
      <c r="A20" s="2" t="s">
        <v>60</v>
      </c>
      <c r="B20" s="27" t="str">
        <f>VLOOKUP(A20,テーブル!$I$3:$K$7,2,0)</f>
        <v>朝倉商事</v>
      </c>
      <c r="C20" s="2">
        <v>14</v>
      </c>
      <c r="D20" s="2" t="str">
        <f>VLOOKUP(C20,テーブル!$A$3:$D$7,2,0)</f>
        <v>商品Ｍ</v>
      </c>
      <c r="E20" s="32">
        <v>283</v>
      </c>
      <c r="F20" s="8">
        <f>ROUNDUP(VLOOKUP(C20,テーブル!$A$3:$D$7,4,0)*(1-VLOOKUP(RIGHT(A20,1),テーブル!$M$3:$N$5,2,0)),0)</f>
        <v>4066</v>
      </c>
    </row>
    <row r="21" spans="1:6">
      <c r="A21" s="2" t="s">
        <v>60</v>
      </c>
      <c r="B21" s="27" t="str">
        <f>VLOOKUP(A21,テーブル!$I$3:$K$7,2,0)</f>
        <v>朝倉商事</v>
      </c>
      <c r="C21" s="2">
        <v>15</v>
      </c>
      <c r="D21" s="2" t="str">
        <f>VLOOKUP(C21,テーブル!$A$3:$D$7,2,0)</f>
        <v>商品Ｎ</v>
      </c>
      <c r="E21" s="32">
        <v>281</v>
      </c>
      <c r="F21" s="8">
        <f>ROUNDUP(VLOOKUP(C21,テーブル!$A$3:$D$7,4,0)*(1-VLOOKUP(RIGHT(A21,1),テーブル!$M$3:$N$5,2,0)),0)</f>
        <v>3223</v>
      </c>
    </row>
    <row r="22" spans="1:6">
      <c r="A22" s="7" t="s">
        <v>61</v>
      </c>
      <c r="B22" s="27" t="str">
        <f>VLOOKUP(A22,テーブル!$I$3:$K$7,2,0)</f>
        <v>南海貿易</v>
      </c>
      <c r="C22" s="2">
        <v>11</v>
      </c>
      <c r="D22" s="2" t="str">
        <f>VLOOKUP(C22,テーブル!$A$3:$D$7,2,0)</f>
        <v>商品Ｊ</v>
      </c>
      <c r="E22" s="32">
        <v>329</v>
      </c>
      <c r="F22" s="8">
        <f>ROUNDUP(VLOOKUP(C22,テーブル!$A$3:$D$7,4,0)*(1-VLOOKUP(RIGHT(A22,1),テーブル!$M$3:$N$5,2,0)),0)</f>
        <v>3228</v>
      </c>
    </row>
    <row r="23" spans="1:6">
      <c r="A23" s="7" t="s">
        <v>61</v>
      </c>
      <c r="B23" s="27" t="str">
        <f>VLOOKUP(A23,テーブル!$I$3:$K$7,2,0)</f>
        <v>南海貿易</v>
      </c>
      <c r="C23" s="2">
        <v>12</v>
      </c>
      <c r="D23" s="2" t="str">
        <f>VLOOKUP(C23,テーブル!$A$3:$D$7,2,0)</f>
        <v>商品Ｋ</v>
      </c>
      <c r="E23" s="32">
        <v>212</v>
      </c>
      <c r="F23" s="8">
        <f>ROUNDUP(VLOOKUP(C23,テーブル!$A$3:$D$7,4,0)*(1-VLOOKUP(RIGHT(A23,1),テーブル!$M$3:$N$5,2,0)),0)</f>
        <v>3733</v>
      </c>
    </row>
    <row r="24" spans="1:6">
      <c r="A24" s="7" t="s">
        <v>61</v>
      </c>
      <c r="B24" s="27" t="str">
        <f>VLOOKUP(A24,テーブル!$I$3:$K$7,2,0)</f>
        <v>南海貿易</v>
      </c>
      <c r="C24" s="2">
        <v>13</v>
      </c>
      <c r="D24" s="2" t="str">
        <f>VLOOKUP(C24,テーブル!$A$3:$D$7,2,0)</f>
        <v>商品Ｌ</v>
      </c>
      <c r="E24" s="32">
        <v>311</v>
      </c>
      <c r="F24" s="8">
        <f>ROUNDUP(VLOOKUP(C24,テーブル!$A$3:$D$7,4,0)*(1-VLOOKUP(RIGHT(A24,1),テーブル!$M$3:$N$5,2,0)),0)</f>
        <v>2990</v>
      </c>
    </row>
    <row r="25" spans="1:6">
      <c r="A25" s="7" t="s">
        <v>61</v>
      </c>
      <c r="B25" s="27" t="str">
        <f>VLOOKUP(A25,テーブル!$I$3:$K$7,2,0)</f>
        <v>南海貿易</v>
      </c>
      <c r="C25" s="2">
        <v>14</v>
      </c>
      <c r="D25" s="2" t="str">
        <f>VLOOKUP(C25,テーブル!$A$3:$D$7,2,0)</f>
        <v>商品Ｍ</v>
      </c>
      <c r="E25" s="32">
        <v>208</v>
      </c>
      <c r="F25" s="8">
        <f>ROUNDUP(VLOOKUP(C25,テーブル!$A$3:$D$7,4,0)*(1-VLOOKUP(RIGHT(A25,1),テーブル!$M$3:$N$5,2,0)),0)</f>
        <v>4026</v>
      </c>
    </row>
    <row r="26" spans="1:6">
      <c r="A26" s="7" t="s">
        <v>61</v>
      </c>
      <c r="B26" s="27" t="str">
        <f>VLOOKUP(A26,テーブル!$I$3:$K$7,2,0)</f>
        <v>南海貿易</v>
      </c>
      <c r="C26" s="2">
        <v>15</v>
      </c>
      <c r="D26" s="2" t="str">
        <f>VLOOKUP(C26,テーブル!$A$3:$D$7,2,0)</f>
        <v>商品Ｎ</v>
      </c>
      <c r="E26" s="32">
        <v>319</v>
      </c>
      <c r="F26" s="8">
        <f>ROUNDUP(VLOOKUP(C26,テーブル!$A$3:$D$7,4,0)*(1-VLOOKUP(RIGHT(A26,1),テーブル!$M$3:$N$5,2,0)),0)</f>
        <v>3192</v>
      </c>
    </row>
    <row r="27" spans="1:6">
      <c r="A27" s="7"/>
      <c r="B27" s="27"/>
      <c r="C27" s="2"/>
      <c r="D27" s="2"/>
      <c r="E27" s="2"/>
      <c r="F27" s="9"/>
    </row>
    <row r="28" spans="1:6" ht="14.25" thickBot="1">
      <c r="A28" s="25"/>
      <c r="B28" s="28" t="s">
        <v>26</v>
      </c>
      <c r="C28" s="22"/>
      <c r="D28" s="22"/>
      <c r="E28" s="12">
        <f>SUM(E2:E26)</f>
        <v>7093</v>
      </c>
      <c r="F28" s="24"/>
    </row>
  </sheetData>
  <phoneticPr fontId="1"/>
  <printOptions headings="1"/>
  <pageMargins left="0.70866141732283472" right="0.70866141732283472" top="0.74803149606299213" bottom="0.74803149606299213" header="0.31496062992125984" footer="0.31496062992125984"/>
  <pageSetup paperSize="9" orientation="landscape" horizontalDpi="1200" verticalDpi="1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47D8AD-2364-4632-BC3A-46EBF76BDEB2}">
  <dimension ref="A1:S12"/>
  <sheetViews>
    <sheetView workbookViewId="0">
      <selection sqref="A1:F1"/>
    </sheetView>
  </sheetViews>
  <sheetFormatPr defaultRowHeight="13.5"/>
  <cols>
    <col min="1" max="3" width="7.5" bestFit="1" customWidth="1"/>
    <col min="4" max="4" width="11.625" bestFit="1" customWidth="1"/>
    <col min="5" max="5" width="7.5" bestFit="1" customWidth="1"/>
    <col min="6" max="6" width="11.625" bestFit="1" customWidth="1"/>
    <col min="7" max="7" width="5.625" customWidth="1"/>
    <col min="8" max="8" width="7.5" bestFit="1" customWidth="1"/>
    <col min="9" max="11" width="10.5" bestFit="1" customWidth="1"/>
    <col min="12" max="12" width="6.375" customWidth="1"/>
    <col min="13" max="13" width="7.5" customWidth="1"/>
    <col min="14" max="14" width="10.5" bestFit="1" customWidth="1"/>
    <col min="15" max="15" width="7.5" bestFit="1" customWidth="1"/>
    <col min="16" max="16" width="11.625" bestFit="1" customWidth="1"/>
    <col min="17" max="17" width="8.5" bestFit="1" customWidth="1"/>
    <col min="18" max="18" width="11.625" bestFit="1" customWidth="1"/>
  </cols>
  <sheetData>
    <row r="1" spans="1:19" ht="14.25" thickBot="1">
      <c r="A1" s="37" t="s">
        <v>27</v>
      </c>
      <c r="B1" s="37"/>
      <c r="C1" s="37"/>
      <c r="D1" s="37"/>
      <c r="E1" s="37"/>
      <c r="F1" s="37"/>
      <c r="H1" s="36" t="s">
        <v>25</v>
      </c>
      <c r="I1" s="36"/>
      <c r="J1" s="36"/>
      <c r="K1" s="36"/>
      <c r="M1" s="36" t="s">
        <v>31</v>
      </c>
      <c r="N1" s="36"/>
      <c r="O1" s="36"/>
      <c r="P1" s="36"/>
      <c r="Q1" s="36"/>
      <c r="R1" s="36"/>
    </row>
    <row r="2" spans="1:19">
      <c r="A2" s="4" t="s">
        <v>0</v>
      </c>
      <c r="B2" s="5" t="s">
        <v>1</v>
      </c>
      <c r="C2" s="5" t="s">
        <v>2</v>
      </c>
      <c r="D2" s="5" t="s">
        <v>18</v>
      </c>
      <c r="E2" s="5" t="s">
        <v>10</v>
      </c>
      <c r="F2" s="6" t="s">
        <v>12</v>
      </c>
      <c r="H2" s="4" t="s">
        <v>1</v>
      </c>
      <c r="I2" s="5" t="s">
        <v>42</v>
      </c>
      <c r="J2" s="5" t="s">
        <v>43</v>
      </c>
      <c r="K2" s="6" t="s">
        <v>44</v>
      </c>
      <c r="M2" s="4" t="s">
        <v>8</v>
      </c>
      <c r="N2" s="5" t="s">
        <v>9</v>
      </c>
      <c r="O2" s="5" t="s">
        <v>10</v>
      </c>
      <c r="P2" s="5" t="s">
        <v>12</v>
      </c>
      <c r="Q2" s="5" t="s">
        <v>30</v>
      </c>
      <c r="R2" s="6" t="s">
        <v>29</v>
      </c>
      <c r="S2" s="20"/>
    </row>
    <row r="3" spans="1:19">
      <c r="A3" s="7">
        <v>11</v>
      </c>
      <c r="B3" s="2" t="str">
        <f>VLOOKUP(A3,テーブル!$A$3:$D$7,2,0)</f>
        <v>商品Ｊ</v>
      </c>
      <c r="C3" s="3">
        <f>DSUM(仕入データ表!$A$1:$G$31,C$2,$A$11:$A$12)</f>
        <v>1662</v>
      </c>
      <c r="D3" s="3">
        <f>DSUM(仕入データ表!$A$1:$G$31,D$2,$A$11:$A$12)</f>
        <v>4272362</v>
      </c>
      <c r="E3" s="3">
        <f>DSUM(売上データ表!$A$1:$F$26,$E$2,$A$11:$A$12)</f>
        <v>1621</v>
      </c>
      <c r="F3" s="8">
        <f>SUMPRODUCT((売上データ表!$C$2:$C$26=A3)*1,売上データ表!$F$2:$F$26,売上データ表!$E$2:$E$26)</f>
        <v>5273260</v>
      </c>
      <c r="H3" s="7" t="s">
        <v>32</v>
      </c>
      <c r="I3" s="3">
        <f>SUMPRODUCT((仕入データ表!$C$2:$C$31=$H3)*(MONTH(仕入データ表!$A$2:$A$31)&amp;"月"=I$2)*1,仕入データ表!$G$2:$G$31)</f>
        <v>1321900</v>
      </c>
      <c r="J3" s="3">
        <f>SUMPRODUCT((仕入データ表!$C$2:$C$31=$H3)*(MONTH(仕入データ表!$A$2:$A$31)&amp;"月"=J$2)*1,仕入データ表!$G$2:$G$31)</f>
        <v>1377573</v>
      </c>
      <c r="K3" s="8">
        <f>SUMPRODUCT((仕入データ表!$C$2:$C$31=$H3)*(MONTH(仕入データ表!$A$2:$A$31)&amp;"月"=K$2)*1,仕入データ表!$G$2:$G$31)</f>
        <v>1572889</v>
      </c>
      <c r="M3" s="7" t="s">
        <v>53</v>
      </c>
      <c r="N3" s="2" t="str">
        <f>VLOOKUP(M3,テーブル!$I$3:$K$7,2,0)</f>
        <v>ニチトク</v>
      </c>
      <c r="O3" s="3">
        <f>DSUM(売上データ表!$A$1:$F$26,$O$2,$M$11:$M$12)</f>
        <v>1258</v>
      </c>
      <c r="P3" s="3">
        <f>SUMPRODUCT((売上データ表!$A$2:$A$26=M3)*1,売上データ表!$F$2:$F$26,売上データ表!$E$2:$E$26)</f>
        <v>4224661</v>
      </c>
      <c r="Q3" s="29">
        <f>ROUNDUP(IF(O3&gt;=1500,P3*1.7%,P3*1.5%),-1)</f>
        <v>63370</v>
      </c>
      <c r="R3" s="8">
        <f>P3+Q3+VLOOKUP(M3,テーブル!$I$3:$K$7,3,0)</f>
        <v>4675031</v>
      </c>
    </row>
    <row r="4" spans="1:19">
      <c r="A4" s="7">
        <v>14</v>
      </c>
      <c r="B4" s="2" t="str">
        <f>VLOOKUP(A4,テーブル!$A$3:$D$7,2,0)</f>
        <v>商品Ｍ</v>
      </c>
      <c r="C4" s="3">
        <f>DSUM(仕入データ表!$A$1:$G$31,C$2,$D$11:$D$12)</f>
        <v>1341</v>
      </c>
      <c r="D4" s="3">
        <f>DSUM(仕入データ表!$A$1:$G$31,D$2,$D$11:$D$12)</f>
        <v>4134398</v>
      </c>
      <c r="E4" s="3">
        <f>DSUM(売上データ表!$A$1:$F$26,$E$2,$D$11:$D$12)</f>
        <v>1280</v>
      </c>
      <c r="F4" s="8">
        <f>SUMPRODUCT((売上データ表!$C$2:$C$26=A4)*1,売上データ表!$F$2:$F$26,売上データ表!$E$2:$E$26)</f>
        <v>5200999</v>
      </c>
      <c r="H4" s="7" t="s">
        <v>34</v>
      </c>
      <c r="I4" s="3">
        <f>SUMPRODUCT((仕入データ表!$C$2:$C$31=$H4)*(MONTH(仕入データ表!$A$2:$A$31)&amp;"月"=I$2)*1,仕入データ表!$G$2:$G$31)</f>
        <v>1549774</v>
      </c>
      <c r="J4" s="3">
        <f>SUMPRODUCT((仕入データ表!$C$2:$C$31=$H4)*(MONTH(仕入データ表!$A$2:$A$31)&amp;"月"=J$2)*1,仕入データ表!$G$2:$G$31)</f>
        <v>1243526</v>
      </c>
      <c r="K4" s="8">
        <f>SUMPRODUCT((仕入データ表!$C$2:$C$31=$H4)*(MONTH(仕入データ表!$A$2:$A$31)&amp;"月"=K$2)*1,仕入データ表!$G$2:$G$31)</f>
        <v>1167353</v>
      </c>
      <c r="M4" s="7" t="s">
        <v>55</v>
      </c>
      <c r="N4" s="2" t="str">
        <f>VLOOKUP(M4,テーブル!$I$3:$K$7,2,0)</f>
        <v>ＴＫ総業</v>
      </c>
      <c r="O4" s="3">
        <f>DSUM(売上データ表!$A$1:$F$26,$O$2,$N$11:$N$12)</f>
        <v>1543</v>
      </c>
      <c r="P4" s="3">
        <f>SUMPRODUCT((売上データ表!$A$2:$A$26=M4)*1,売上データ表!$F$2:$F$26,売上データ表!$E$2:$E$26)</f>
        <v>5540295</v>
      </c>
      <c r="Q4" s="29">
        <f t="shared" ref="Q4:Q7" si="0">ROUNDUP(IF(O4&gt;=1500,P4*1.7%,P4*1.5%),-1)</f>
        <v>94190</v>
      </c>
      <c r="R4" s="8">
        <f>P4+Q4+VLOOKUP(M4,テーブル!$I$3:$K$7,3,0)</f>
        <v>6177485</v>
      </c>
    </row>
    <row r="5" spans="1:19">
      <c r="A5" s="7">
        <v>12</v>
      </c>
      <c r="B5" s="2" t="str">
        <f>VLOOKUP(A5,テーブル!$A$3:$D$7,2,0)</f>
        <v>商品Ｋ</v>
      </c>
      <c r="C5" s="3">
        <f>DSUM(仕入データ表!$A$1:$G$31,C$2,$B$11:$B$12)</f>
        <v>1348</v>
      </c>
      <c r="D5" s="3">
        <f>DSUM(仕入データ表!$A$1:$G$31,D$2,$B$11:$B$12)</f>
        <v>3960653</v>
      </c>
      <c r="E5" s="3">
        <f>DSUM(売上データ表!$A$1:$F$26,$E$2,$B$11:$B$12)</f>
        <v>1327</v>
      </c>
      <c r="F5" s="8">
        <f>SUMPRODUCT((売上データ表!$C$2:$C$26=A5)*1,売上データ表!$F$2:$F$26,売上データ表!$E$2:$E$26)</f>
        <v>4998617</v>
      </c>
      <c r="H5" s="7" t="s">
        <v>36</v>
      </c>
      <c r="I5" s="3">
        <f>SUMPRODUCT((仕入データ表!$C$2:$C$31=$H5)*(MONTH(仕入データ表!$A$2:$A$31)&amp;"月"=I$2)*1,仕入データ表!$G$2:$G$31)</f>
        <v>1095511</v>
      </c>
      <c r="J5" s="3">
        <f>SUMPRODUCT((仕入データ表!$C$2:$C$31=$H5)*(MONTH(仕入データ表!$A$2:$A$31)&amp;"月"=J$2)*1,仕入データ表!$G$2:$G$31)</f>
        <v>1091476</v>
      </c>
      <c r="K5" s="8">
        <f>SUMPRODUCT((仕入データ表!$C$2:$C$31=$H5)*(MONTH(仕入データ表!$A$2:$A$31)&amp;"月"=K$2)*1,仕入データ表!$G$2:$G$31)</f>
        <v>1082222</v>
      </c>
      <c r="M5" s="7" t="s">
        <v>57</v>
      </c>
      <c r="N5" s="2" t="str">
        <f>VLOOKUP(M5,テーブル!$I$3:$K$7,2,0)</f>
        <v xml:space="preserve">ＡＢＳＹ </v>
      </c>
      <c r="O5" s="3">
        <f>DSUM(売上データ表!$A$1:$F$26,$O$2,$O$11:$O$12)</f>
        <v>1408</v>
      </c>
      <c r="P5" s="3">
        <f>SUMPRODUCT((売上データ表!$A$2:$A$26=M5)*1,売上データ表!$F$2:$F$26,売上データ表!$E$2:$E$26)</f>
        <v>4812347</v>
      </c>
      <c r="Q5" s="29">
        <f t="shared" si="0"/>
        <v>72190</v>
      </c>
      <c r="R5" s="8">
        <f>P5+Q5+VLOOKUP(M5,テーブル!$I$3:$K$7,3,0)</f>
        <v>5282537</v>
      </c>
    </row>
    <row r="6" spans="1:19">
      <c r="A6" s="7">
        <v>15</v>
      </c>
      <c r="B6" s="2" t="str">
        <f>VLOOKUP(A6,テーブル!$A$3:$D$7,2,0)</f>
        <v>商品Ｎ</v>
      </c>
      <c r="C6" s="3">
        <f>DSUM(仕入データ表!$A$1:$G$31,C$2,$E$11:$E$12)</f>
        <v>1590</v>
      </c>
      <c r="D6" s="3">
        <f>DSUM(仕入データ表!$A$1:$G$31,D$2,$E$11:$E$12)</f>
        <v>4000447</v>
      </c>
      <c r="E6" s="3">
        <f>DSUM(売上データ表!$A$1:$F$26,$E$2,$E$11:$E$12)</f>
        <v>1549</v>
      </c>
      <c r="F6" s="8">
        <f>SUMPRODUCT((売上データ表!$C$2:$C$26=A6)*1,売上データ表!$F$2:$F$26,売上データ表!$E$2:$E$26)</f>
        <v>4982259</v>
      </c>
      <c r="H6" s="7" t="s">
        <v>38</v>
      </c>
      <c r="I6" s="3">
        <f>SUMPRODUCT((仕入データ表!$C$2:$C$31=$H6)*(MONTH(仕入データ表!$A$2:$A$31)&amp;"月"=I$2)*1,仕入データ表!$G$2:$G$31)</f>
        <v>1214010</v>
      </c>
      <c r="J6" s="3">
        <f>SUMPRODUCT((仕入データ表!$C$2:$C$31=$H6)*(MONTH(仕入データ表!$A$2:$A$31)&amp;"月"=J$2)*1,仕入データ表!$G$2:$G$31)</f>
        <v>1507848</v>
      </c>
      <c r="K6" s="8">
        <f>SUMPRODUCT((仕入データ表!$C$2:$C$31=$H6)*(MONTH(仕入データ表!$A$2:$A$31)&amp;"月"=K$2)*1,仕入データ表!$G$2:$G$31)</f>
        <v>1412540</v>
      </c>
      <c r="M6" s="7" t="s">
        <v>59</v>
      </c>
      <c r="N6" s="2" t="str">
        <f>VLOOKUP(M6,テーブル!$I$3:$K$7,2,0)</f>
        <v>朝倉商事</v>
      </c>
      <c r="O6" s="3">
        <f>DSUM(売上データ表!$A$1:$F$26,$O$2,$P$11:$P$12)</f>
        <v>1505</v>
      </c>
      <c r="P6" s="3">
        <f>SUMPRODUCT((売上データ表!$A$2:$A$26=M6)*1,売上データ表!$F$2:$F$26,売上データ表!$E$2:$E$26)</f>
        <v>5200539</v>
      </c>
      <c r="Q6" s="29">
        <f t="shared" si="0"/>
        <v>88410</v>
      </c>
      <c r="R6" s="8">
        <f>P6+Q6+VLOOKUP(M6,テーブル!$I$3:$K$7,3,0)</f>
        <v>5774949</v>
      </c>
    </row>
    <row r="7" spans="1:19" ht="14.25" thickBot="1">
      <c r="A7" s="7">
        <v>13</v>
      </c>
      <c r="B7" s="2" t="str">
        <f>VLOOKUP(A7,テーブル!$A$3:$D$7,2,0)</f>
        <v>商品Ｌ</v>
      </c>
      <c r="C7" s="3">
        <f>DSUM(仕入データ表!$A$1:$G$31,C$2,$C$11:$C$12)</f>
        <v>1382</v>
      </c>
      <c r="D7" s="3">
        <f>DSUM(仕入データ表!$A$1:$G$31,D$2,$C$11:$C$12)</f>
        <v>3269209</v>
      </c>
      <c r="E7" s="3">
        <f>DSUM(売上データ表!$A$1:$F$26,$E$2,$C$11:$C$12)</f>
        <v>1316</v>
      </c>
      <c r="F7" s="8">
        <f>SUMPRODUCT((売上データ表!$C$2:$C$26=A7)*1,売上データ表!$F$2:$F$26,売上データ表!$E$2:$E$26)</f>
        <v>3961661</v>
      </c>
      <c r="H7" s="10" t="s">
        <v>40</v>
      </c>
      <c r="I7" s="12">
        <f>SUMPRODUCT((仕入データ表!$C$2:$C$31=$H7)*(MONTH(仕入データ表!$A$2:$A$31)&amp;"月"=I$2)*1,仕入データ表!$G$2:$G$31)</f>
        <v>1243400</v>
      </c>
      <c r="J7" s="12">
        <f>SUMPRODUCT((仕入データ表!$C$2:$C$31=$H7)*(MONTH(仕入データ表!$A$2:$A$31)&amp;"月"=J$2)*1,仕入データ表!$G$2:$G$31)</f>
        <v>1298973</v>
      </c>
      <c r="K7" s="15">
        <f>SUMPRODUCT((仕入データ表!$C$2:$C$31=$H7)*(MONTH(仕入データ表!$A$2:$A$31)&amp;"月"=K$2)*1,仕入データ表!$G$2:$G$31)</f>
        <v>1458074</v>
      </c>
      <c r="M7" s="7" t="s">
        <v>61</v>
      </c>
      <c r="N7" s="2" t="str">
        <f>VLOOKUP(M7,テーブル!$I$3:$K$7,2,0)</f>
        <v>南海貿易</v>
      </c>
      <c r="O7" s="3">
        <f>DSUM(売上データ表!$A$1:$F$26,$O$2,$Q$11:$Q$12)</f>
        <v>1379</v>
      </c>
      <c r="P7" s="3">
        <f>SUMPRODUCT((売上データ表!$A$2:$A$26=M7)*1,売上データ表!$F$2:$F$26,売上データ表!$E$2:$E$26)</f>
        <v>4638954</v>
      </c>
      <c r="Q7" s="29">
        <f t="shared" si="0"/>
        <v>69590</v>
      </c>
      <c r="R7" s="8">
        <f>P7+Q7+VLOOKUP(M7,テーブル!$I$3:$K$7,3,0)</f>
        <v>5160544</v>
      </c>
    </row>
    <row r="8" spans="1:19">
      <c r="A8" s="7"/>
      <c r="B8" s="2"/>
      <c r="C8" s="2"/>
      <c r="D8" s="2"/>
      <c r="E8" s="2"/>
      <c r="F8" s="9"/>
      <c r="I8" s="31"/>
      <c r="J8" s="31"/>
      <c r="K8" s="31"/>
      <c r="M8" s="7"/>
      <c r="N8" s="2"/>
      <c r="O8" s="2"/>
      <c r="P8" s="2"/>
      <c r="Q8" s="2"/>
      <c r="R8" s="9"/>
    </row>
    <row r="9" spans="1:19" ht="14.25" thickBot="1">
      <c r="A9" s="10"/>
      <c r="B9" s="11" t="s">
        <v>6</v>
      </c>
      <c r="C9" s="12">
        <f>SUM(C3:C7)</f>
        <v>7323</v>
      </c>
      <c r="D9" s="12">
        <f>SUM(D3:D7)</f>
        <v>19637069</v>
      </c>
      <c r="E9" s="12">
        <f>SUM(E3:E7)</f>
        <v>7093</v>
      </c>
      <c r="F9" s="15">
        <f>SUM(F3:F7)</f>
        <v>24416796</v>
      </c>
      <c r="M9" s="10"/>
      <c r="N9" s="11" t="s">
        <v>6</v>
      </c>
      <c r="O9" s="12">
        <f>SUM(O3:O7)</f>
        <v>7093</v>
      </c>
      <c r="P9" s="12">
        <f t="shared" ref="P9:R9" si="1">SUM(P3:P7)</f>
        <v>24416796</v>
      </c>
      <c r="Q9" s="12">
        <f t="shared" si="1"/>
        <v>387750</v>
      </c>
      <c r="R9" s="15">
        <f t="shared" si="1"/>
        <v>27070546</v>
      </c>
    </row>
    <row r="10" spans="1:19" ht="14.25" thickBot="1"/>
    <row r="11" spans="1:19">
      <c r="A11" s="13" t="s">
        <v>0</v>
      </c>
      <c r="B11" s="13" t="s">
        <v>0</v>
      </c>
      <c r="C11" s="13" t="s">
        <v>0</v>
      </c>
      <c r="D11" s="13" t="s">
        <v>0</v>
      </c>
      <c r="E11" s="13" t="s">
        <v>0</v>
      </c>
      <c r="M11" s="30" t="s">
        <v>8</v>
      </c>
      <c r="N11" s="30" t="s">
        <v>8</v>
      </c>
      <c r="O11" s="30" t="s">
        <v>8</v>
      </c>
      <c r="P11" s="30" t="s">
        <v>8</v>
      </c>
      <c r="Q11" s="30" t="s">
        <v>8</v>
      </c>
    </row>
    <row r="12" spans="1:19" ht="14.25" thickBot="1">
      <c r="A12" s="14">
        <v>11</v>
      </c>
      <c r="B12" s="14">
        <v>12</v>
      </c>
      <c r="C12" s="14">
        <v>13</v>
      </c>
      <c r="D12" s="14">
        <v>14</v>
      </c>
      <c r="E12" s="14">
        <v>15</v>
      </c>
      <c r="M12" s="14" t="s">
        <v>53</v>
      </c>
      <c r="N12" s="14" t="s">
        <v>55</v>
      </c>
      <c r="O12" s="14" t="s">
        <v>57</v>
      </c>
      <c r="P12" s="14" t="s">
        <v>59</v>
      </c>
      <c r="Q12" s="14" t="s">
        <v>61</v>
      </c>
    </row>
  </sheetData>
  <sortState xmlns:xlrd2="http://schemas.microsoft.com/office/spreadsheetml/2017/richdata2" ref="A3:F7">
    <sortCondition descending="1" ref="F3:F7"/>
  </sortState>
  <mergeCells count="3">
    <mergeCell ref="H1:K1"/>
    <mergeCell ref="A1:F1"/>
    <mergeCell ref="M1:R1"/>
  </mergeCells>
  <phoneticPr fontId="1"/>
  <printOptions headings="1"/>
  <pageMargins left="0.70866141732283472" right="0.70866141732283472" top="0.74803149606299213" bottom="0.74803149606299213" header="0.31496062992125984" footer="0.31496062992125984"/>
  <pageSetup paperSize="9" orientation="landscape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2</vt:i4>
      </vt:variant>
    </vt:vector>
  </HeadingPairs>
  <TitlesOfParts>
    <vt:vector size="6" baseType="lpstr">
      <vt:lpstr>テーブル</vt:lpstr>
      <vt:lpstr>仕入データ表</vt:lpstr>
      <vt:lpstr>売上データ表</vt:lpstr>
      <vt:lpstr>計算表</vt:lpstr>
      <vt:lpstr>仕入データ表!Criteria</vt:lpstr>
      <vt:lpstr>仕入データ表!Extract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日本情報処理検定協会</dc:creator>
  <cp:lastModifiedBy>日本情報処理検定協会(M.N)</cp:lastModifiedBy>
  <cp:lastPrinted>2019-10-04T07:37:52Z</cp:lastPrinted>
  <dcterms:created xsi:type="dcterms:W3CDTF">2019-03-28T01:49:55Z</dcterms:created>
  <dcterms:modified xsi:type="dcterms:W3CDTF">2023-01-12T03:51:12Z</dcterms:modified>
</cp:coreProperties>
</file>