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3(令和05)年度\1表計算\3_SP初段\模範解答\sps-A\"/>
    </mc:Choice>
  </mc:AlternateContent>
  <xr:revisionPtr revIDLastSave="0" documentId="13_ncr:1_{D05D2CAB-D3C0-4D2B-8F1A-B4E83E4DC1B1}" xr6:coauthVersionLast="47" xr6:coauthVersionMax="47" xr10:uidLastSave="{00000000-0000-0000-0000-000000000000}"/>
  <bookViews>
    <workbookView xWindow="-120" yWindow="-120" windowWidth="29040" windowHeight="15840" xr2:uid="{EFC64FC8-A7F4-4B8D-88AD-E02EC968911A}"/>
  </bookViews>
  <sheets>
    <sheet name="テーブル" sheetId="1" r:id="rId1"/>
    <sheet name="データ表" sheetId="2" r:id="rId2"/>
    <sheet name="計算表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" i="2"/>
  <c r="B3" i="4"/>
  <c r="C3" i="4"/>
  <c r="D3" i="4"/>
  <c r="K2" i="2"/>
  <c r="K6" i="4"/>
  <c r="L6" i="4" s="1"/>
  <c r="J6" i="4"/>
  <c r="J5" i="4"/>
  <c r="J4" i="4"/>
  <c r="J3" i="4"/>
  <c r="I5" i="4"/>
  <c r="I4" i="4"/>
  <c r="I3" i="4"/>
  <c r="I6" i="4"/>
  <c r="I7" i="4"/>
  <c r="G3" i="2"/>
  <c r="G4" i="2"/>
  <c r="G5" i="2"/>
  <c r="G6" i="2"/>
  <c r="H6" i="2" s="1"/>
  <c r="G7" i="2"/>
  <c r="H7" i="2" s="1"/>
  <c r="G8" i="2"/>
  <c r="H8" i="2" s="1"/>
  <c r="G9" i="2"/>
  <c r="G10" i="2"/>
  <c r="G11" i="2"/>
  <c r="G12" i="2"/>
  <c r="H12" i="2" s="1"/>
  <c r="G13" i="2"/>
  <c r="H13" i="2" s="1"/>
  <c r="G14" i="2"/>
  <c r="H14" i="2" s="1"/>
  <c r="G15" i="2"/>
  <c r="G16" i="2"/>
  <c r="G17" i="2"/>
  <c r="G18" i="2"/>
  <c r="H18" i="2" s="1"/>
  <c r="G19" i="2"/>
  <c r="H19" i="2" s="1"/>
  <c r="G20" i="2"/>
  <c r="H20" i="2" s="1"/>
  <c r="G21" i="2"/>
  <c r="G22" i="2"/>
  <c r="G23" i="2"/>
  <c r="G24" i="2"/>
  <c r="H24" i="2" s="1"/>
  <c r="G25" i="2"/>
  <c r="H25" i="2" s="1"/>
  <c r="G26" i="2"/>
  <c r="H26" i="2" s="1"/>
  <c r="K26" i="2"/>
  <c r="K21" i="2"/>
  <c r="K16" i="2"/>
  <c r="K11" i="2"/>
  <c r="K6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11" i="2"/>
  <c r="D7" i="2"/>
  <c r="D8" i="2"/>
  <c r="D9" i="2"/>
  <c r="D10" i="2"/>
  <c r="D3" i="2"/>
  <c r="D4" i="2"/>
  <c r="D5" i="2"/>
  <c r="D6" i="2"/>
  <c r="D2" i="2"/>
  <c r="K7" i="4"/>
  <c r="L7" i="4" s="1"/>
  <c r="K4" i="4"/>
  <c r="L4" i="4" s="1"/>
  <c r="K5" i="4"/>
  <c r="L5" i="4" s="1"/>
  <c r="K3" i="4"/>
  <c r="L3" i="4" s="1"/>
  <c r="J7" i="4"/>
  <c r="K3" i="2"/>
  <c r="K4" i="2"/>
  <c r="K5" i="2"/>
  <c r="K7" i="2"/>
  <c r="K8" i="2"/>
  <c r="K9" i="2"/>
  <c r="K10" i="2"/>
  <c r="K12" i="2"/>
  <c r="K13" i="2"/>
  <c r="K14" i="2"/>
  <c r="K15" i="2"/>
  <c r="K17" i="2"/>
  <c r="K18" i="2"/>
  <c r="K19" i="2"/>
  <c r="K20" i="2"/>
  <c r="K22" i="2"/>
  <c r="K23" i="2"/>
  <c r="K24" i="2"/>
  <c r="K25" i="2"/>
  <c r="G2" i="2"/>
  <c r="H2" i="2" s="1"/>
  <c r="I17" i="2" l="1"/>
  <c r="J17" i="2" s="1"/>
  <c r="I11" i="2"/>
  <c r="J11" i="2" s="1"/>
  <c r="I24" i="2"/>
  <c r="J24" i="2" s="1"/>
  <c r="H23" i="2"/>
  <c r="I23" i="2" s="1"/>
  <c r="J23" i="2" s="1"/>
  <c r="H17" i="2"/>
  <c r="H11" i="2"/>
  <c r="H5" i="2"/>
  <c r="I5" i="2" s="1"/>
  <c r="J5" i="2" s="1"/>
  <c r="I6" i="2"/>
  <c r="J6" i="2" s="1"/>
  <c r="H22" i="2"/>
  <c r="I22" i="2" s="1"/>
  <c r="J22" i="2" s="1"/>
  <c r="H16" i="2"/>
  <c r="I16" i="2" s="1"/>
  <c r="J16" i="2" s="1"/>
  <c r="H10" i="2"/>
  <c r="I10" i="2" s="1"/>
  <c r="J10" i="2" s="1"/>
  <c r="H4" i="2"/>
  <c r="I4" i="2" s="1"/>
  <c r="I18" i="2"/>
  <c r="J18" i="2" s="1"/>
  <c r="H21" i="2"/>
  <c r="I21" i="2" s="1"/>
  <c r="J21" i="2" s="1"/>
  <c r="H15" i="2"/>
  <c r="I15" i="2" s="1"/>
  <c r="J15" i="2" s="1"/>
  <c r="H9" i="2"/>
  <c r="I9" i="2" s="1"/>
  <c r="J9" i="2" s="1"/>
  <c r="H3" i="2"/>
  <c r="I3" i="2" s="1"/>
  <c r="J3" i="2" s="1"/>
  <c r="I12" i="2"/>
  <c r="J12" i="2" s="1"/>
  <c r="I25" i="2"/>
  <c r="J25" i="2" s="1"/>
  <c r="I19" i="2"/>
  <c r="J19" i="2" s="1"/>
  <c r="I13" i="2"/>
  <c r="J13" i="2" s="1"/>
  <c r="I7" i="2"/>
  <c r="J7" i="2" s="1"/>
  <c r="I26" i="2"/>
  <c r="J26" i="2" s="1"/>
  <c r="I20" i="2"/>
  <c r="J20" i="2" s="1"/>
  <c r="I14" i="2"/>
  <c r="J14" i="2" s="1"/>
  <c r="I8" i="2"/>
  <c r="J8" i="2" s="1"/>
  <c r="J9" i="4"/>
  <c r="K9" i="4"/>
  <c r="I2" i="2"/>
  <c r="J2" i="2" s="1"/>
  <c r="N3" i="4" l="1"/>
  <c r="O3" i="4" s="1"/>
  <c r="N6" i="4"/>
  <c r="O6" i="4" s="1"/>
  <c r="J4" i="2"/>
  <c r="N5" i="4" s="1"/>
  <c r="O5" i="4" s="1"/>
  <c r="M5" i="4"/>
  <c r="M6" i="4"/>
  <c r="M3" i="4"/>
  <c r="M4" i="4"/>
  <c r="N7" i="4"/>
  <c r="O7" i="4" s="1"/>
  <c r="N4" i="4"/>
  <c r="O4" i="4" s="1"/>
  <c r="M7" i="4"/>
  <c r="P6" i="4" l="1"/>
  <c r="P4" i="4"/>
  <c r="P3" i="4"/>
  <c r="P5" i="4"/>
  <c r="M9" i="4"/>
  <c r="N9" i="4"/>
  <c r="O9" i="4"/>
  <c r="E28" i="2"/>
  <c r="P7" i="4" l="1"/>
  <c r="P9" i="4" s="1"/>
  <c r="C4" i="4"/>
  <c r="C5" i="4"/>
  <c r="C6" i="4"/>
  <c r="B4" i="4"/>
  <c r="E4" i="4" s="1"/>
  <c r="B5" i="4"/>
  <c r="E5" i="4" s="1"/>
  <c r="B6" i="4"/>
  <c r="E6" i="4" s="1"/>
  <c r="B7" i="4"/>
  <c r="E7" i="4" s="1"/>
  <c r="E3" i="4"/>
  <c r="C7" i="4"/>
  <c r="D7" i="4"/>
  <c r="D6" i="4"/>
  <c r="D5" i="4"/>
  <c r="D4" i="4"/>
  <c r="F28" i="2"/>
  <c r="F4" i="4" l="1"/>
  <c r="F3" i="4"/>
  <c r="F6" i="4"/>
  <c r="F5" i="4"/>
  <c r="F7" i="4"/>
  <c r="I28" i="2"/>
  <c r="J28" i="2" l="1"/>
</calcChain>
</file>

<file path=xl/sharedStrings.xml><?xml version="1.0" encoding="utf-8"?>
<sst xmlns="http://schemas.openxmlformats.org/spreadsheetml/2006/main" count="58" uniqueCount="43">
  <si>
    <t>委託先名</t>
  </si>
  <si>
    <t>委託先名</t>
    <rPh sb="0" eb="2">
      <t>イタク</t>
    </rPh>
    <phoneticPr fontId="2"/>
  </si>
  <si>
    <t>委託数</t>
    <rPh sb="0" eb="2">
      <t>イタク</t>
    </rPh>
    <rPh sb="2" eb="3">
      <t>スウ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</si>
  <si>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</si>
  <si>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</si>
  <si>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手数料</t>
    <rPh sb="0" eb="3">
      <t>テスウリョウ</t>
    </rPh>
    <phoneticPr fontId="2"/>
  </si>
  <si>
    <t>商品名</t>
    <rPh sb="0" eb="2">
      <t>ショウヒン</t>
    </rPh>
    <rPh sb="2" eb="3">
      <t>メイ</t>
    </rPh>
    <phoneticPr fontId="2"/>
  </si>
  <si>
    <t>＜委託先テーブル＞</t>
    <rPh sb="1" eb="3">
      <t>イタク</t>
    </rPh>
    <phoneticPr fontId="2"/>
  </si>
  <si>
    <t>目標数</t>
    <rPh sb="0" eb="2">
      <t>モクヒョウ</t>
    </rPh>
    <rPh sb="2" eb="3">
      <t>スウ</t>
    </rPh>
    <phoneticPr fontId="2"/>
  </si>
  <si>
    <t>合　計</t>
    <phoneticPr fontId="2"/>
  </si>
  <si>
    <t>商ＣＯ</t>
    <rPh sb="0" eb="1">
      <t>ショウ</t>
    </rPh>
    <phoneticPr fontId="2"/>
  </si>
  <si>
    <t>委ＣＯ</t>
    <rPh sb="0" eb="1">
      <t>イ</t>
    </rPh>
    <phoneticPr fontId="2"/>
  </si>
  <si>
    <t>商品別総括表</t>
    <rPh sb="0" eb="2">
      <t>ショウヒン</t>
    </rPh>
    <rPh sb="2" eb="3">
      <t>ベツ</t>
    </rPh>
    <rPh sb="3" eb="6">
      <t>ソウカツヒョウ</t>
    </rPh>
    <phoneticPr fontId="2"/>
  </si>
  <si>
    <t>達成率</t>
    <rPh sb="0" eb="3">
      <t>タッセイリツ</t>
    </rPh>
    <phoneticPr fontId="2"/>
  </si>
  <si>
    <t>定価</t>
    <rPh sb="0" eb="2">
      <t>テイカ</t>
    </rPh>
    <phoneticPr fontId="2"/>
  </si>
  <si>
    <t>売価</t>
    <rPh sb="0" eb="2">
      <t>バイカ</t>
    </rPh>
    <phoneticPr fontId="2"/>
  </si>
  <si>
    <t>値引率</t>
    <rPh sb="0" eb="3">
      <t>ネビキリツ</t>
    </rPh>
    <phoneticPr fontId="2"/>
  </si>
  <si>
    <t>販売数</t>
    <rPh sb="0" eb="3">
      <t>ハンバイスウ</t>
    </rPh>
    <phoneticPr fontId="2"/>
  </si>
  <si>
    <t>販売率</t>
    <rPh sb="0" eb="2">
      <t>ハンバイ</t>
    </rPh>
    <rPh sb="2" eb="3">
      <t>リツ</t>
    </rPh>
    <phoneticPr fontId="2"/>
  </si>
  <si>
    <t>返品数</t>
    <rPh sb="0" eb="3">
      <t>ヘンピンスウ</t>
    </rPh>
    <phoneticPr fontId="2"/>
  </si>
  <si>
    <t>判定</t>
    <rPh sb="0" eb="2">
      <t>ハンテイ</t>
    </rPh>
    <phoneticPr fontId="2"/>
  </si>
  <si>
    <t>販売奨励金</t>
    <rPh sb="0" eb="2">
      <t>ハンバイ</t>
    </rPh>
    <rPh sb="2" eb="5">
      <t>ショウレイキン</t>
    </rPh>
    <phoneticPr fontId="2"/>
  </si>
  <si>
    <t>支払額</t>
    <rPh sb="0" eb="3">
      <t>シハライガク</t>
    </rPh>
    <phoneticPr fontId="2"/>
  </si>
  <si>
    <t>合　計</t>
    <rPh sb="0" eb="1">
      <t>ゴウ</t>
    </rPh>
    <rPh sb="2" eb="3">
      <t>ケイ</t>
    </rPh>
    <phoneticPr fontId="2"/>
  </si>
  <si>
    <t>委　託　先　別　手　数　料　計　算　表</t>
    <rPh sb="8" eb="9">
      <t>テ</t>
    </rPh>
    <rPh sb="10" eb="11">
      <t>カズ</t>
    </rPh>
    <rPh sb="12" eb="13">
      <t>リョウ</t>
    </rPh>
    <phoneticPr fontId="2"/>
  </si>
  <si>
    <t>＜手数料率テーブル＞</t>
    <rPh sb="1" eb="4">
      <t>テスウリョウ</t>
    </rPh>
    <rPh sb="4" eb="5">
      <t>リツ</t>
    </rPh>
    <phoneticPr fontId="2"/>
  </si>
  <si>
    <t>区分</t>
    <rPh sb="0" eb="2">
      <t>クブン</t>
    </rPh>
    <phoneticPr fontId="2"/>
  </si>
  <si>
    <t>手数料率</t>
    <rPh sb="0" eb="3">
      <t>テスウリョウ</t>
    </rPh>
    <rPh sb="3" eb="4">
      <t>リツ</t>
    </rPh>
    <phoneticPr fontId="2"/>
  </si>
  <si>
    <t>共栄百貨店</t>
    <rPh sb="0" eb="2">
      <t>キョウエイ</t>
    </rPh>
    <rPh sb="2" eb="5">
      <t>ヒャッカテン</t>
    </rPh>
    <phoneticPr fontId="2"/>
  </si>
  <si>
    <t>長谷川商店</t>
    <rPh sb="0" eb="3">
      <t>ハセガワ</t>
    </rPh>
    <rPh sb="3" eb="5">
      <t>ショウテン</t>
    </rPh>
    <phoneticPr fontId="2"/>
  </si>
  <si>
    <t>みつくに屋</t>
    <rPh sb="4" eb="5">
      <t>ヤ</t>
    </rPh>
    <phoneticPr fontId="2"/>
  </si>
  <si>
    <t>星スーパー</t>
    <rPh sb="0" eb="1">
      <t>ホシ</t>
    </rPh>
    <phoneticPr fontId="2"/>
  </si>
  <si>
    <t>オカクラ堂</t>
    <rPh sb="4" eb="5">
      <t>ドウ</t>
    </rPh>
    <phoneticPr fontId="2"/>
  </si>
  <si>
    <t>Ａ商品</t>
  </si>
  <si>
    <t>Ａ商品</t>
    <phoneticPr fontId="2"/>
  </si>
  <si>
    <t>Ｂ商品</t>
  </si>
  <si>
    <t>Ｂ商品</t>
    <phoneticPr fontId="2"/>
  </si>
  <si>
    <t>Ｃ商品</t>
  </si>
  <si>
    <t>Ｃ商品</t>
    <phoneticPr fontId="2"/>
  </si>
  <si>
    <t>Ｄ商品</t>
  </si>
  <si>
    <t>Ｄ商品</t>
    <phoneticPr fontId="2"/>
  </si>
  <si>
    <t>Ｅ商品</t>
    <rPh sb="1" eb="3">
      <t>ショウヒン</t>
    </rPh>
    <phoneticPr fontId="2"/>
  </si>
  <si>
    <t>＜商品テーブル＞</t>
    <rPh sb="1" eb="3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</si>
</sst>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2" applyFont="1" applyBorder="1">
      <alignment vertical="center"/>
    </xf>
    <xf numFmtId="0" fontId="4" fillId="0" borderId="6" xfId="0" applyFont="1" applyBorder="1">
      <alignment vertical="center"/>
    </xf>
    <xf numFmtId="38" fontId="4" fillId="0" borderId="8" xfId="2" applyFont="1" applyBorder="1">
      <alignment vertical="center"/>
    </xf>
    <xf numFmtId="38" fontId="4" fillId="0" borderId="8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4" fillId="0" borderId="0" xfId="0" applyNumberFormat="1" applyFont="1">
      <alignment vertical="center"/>
    </xf>
    <xf numFmtId="0" fontId="4" fillId="0" borderId="8" xfId="0" applyFont="1" applyBorder="1">
      <alignment vertical="center"/>
    </xf>
    <xf numFmtId="176" fontId="4" fillId="0" borderId="0" xfId="0" applyNumberFormat="1" applyFont="1">
      <alignment vertical="center"/>
    </xf>
    <xf numFmtId="3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38" fontId="4" fillId="0" borderId="0" xfId="2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1" xfId="2" applyFont="1" applyFill="1" applyBorder="1">
      <alignment vertical="center"/>
    </xf>
    <xf numFmtId="176" fontId="4" fillId="0" borderId="6" xfId="1" applyNumberFormat="1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7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8" xfId="2" applyFont="1" applyFill="1" applyBorder="1">
      <alignment vertical="center"/>
    </xf>
    <xf numFmtId="38" fontId="4" fillId="0" borderId="9" xfId="2" applyFont="1" applyFill="1" applyBorder="1">
      <alignment vertical="center"/>
    </xf>
    <xf numFmtId="9" fontId="4" fillId="0" borderId="1" xfId="1" applyFont="1" applyBorder="1">
      <alignment vertical="center"/>
    </xf>
    <xf numFmtId="9" fontId="4" fillId="0" borderId="1" xfId="1" applyFont="1" applyFill="1" applyBorder="1">
      <alignment vertical="center"/>
    </xf>
    <xf numFmtId="38" fontId="5" fillId="0" borderId="1" xfId="2" applyFont="1" applyFill="1" applyBorder="1">
      <alignment vertical="center"/>
    </xf>
    <xf numFmtId="38" fontId="5" fillId="0" borderId="0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38" fontId="4" fillId="0" borderId="6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4" fillId="0" borderId="1" xfId="2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872-4F2A-A3FA-BD71C66E1D68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872-4F2A-A3FA-BD71C66E1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27392"/>
        <c:axId val="112428928"/>
      </c:barChart>
      <c:catAx>
        <c:axId val="1124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8928"/>
        <c:crosses val="autoZero"/>
        <c:auto val="1"/>
        <c:lblAlgn val="ctr"/>
        <c:lblOffset val="100"/>
        <c:noMultiLvlLbl val="0"/>
      </c:catAx>
      <c:valAx>
        <c:axId val="112428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73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C3-49ED-A90A-B246F70D743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C3-49ED-A90A-B246F70D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54656"/>
        <c:axId val="112759552"/>
      </c:barChart>
      <c:catAx>
        <c:axId val="112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759552"/>
        <c:crosses val="autoZero"/>
        <c:auto val="1"/>
        <c:lblAlgn val="ctr"/>
        <c:lblOffset val="100"/>
        <c:noMultiLvlLbl val="0"/>
      </c:catAx>
      <c:valAx>
        <c:axId val="1127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546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2-4141-9A44-44E0D6FA21D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2-4141-9A44-44E0D6FA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525504"/>
        <c:axId val="113527040"/>
      </c:barChart>
      <c:catAx>
        <c:axId val="113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7040"/>
        <c:crosses val="autoZero"/>
        <c:auto val="1"/>
        <c:lblAlgn val="ctr"/>
        <c:lblOffset val="100"/>
        <c:noMultiLvlLbl val="0"/>
      </c:catAx>
      <c:valAx>
        <c:axId val="113527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55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100"/>
              <a:t>委託先別の集計グラフ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計算表!$M$2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計算表!$I$3:$I$7</c:f>
              <c:strCache>
                <c:ptCount val="5"/>
                <c:pt idx="0">
                  <c:v>星スーパー</c:v>
                </c:pt>
                <c:pt idx="1">
                  <c:v>長谷川商店</c:v>
                </c:pt>
                <c:pt idx="2">
                  <c:v>みつくに屋</c:v>
                </c:pt>
                <c:pt idx="3">
                  <c:v>オカクラ堂</c:v>
                </c:pt>
                <c:pt idx="4">
                  <c:v>共栄百貨店</c:v>
                </c:pt>
              </c:strCache>
            </c:strRef>
          </c:cat>
          <c:val>
            <c:numRef>
              <c:f>計算表!$M$3:$M$7</c:f>
              <c:numCache>
                <c:formatCode>#,##0_);[Red]\(#,##0\)</c:formatCode>
                <c:ptCount val="5"/>
                <c:pt idx="0">
                  <c:v>1388880</c:v>
                </c:pt>
                <c:pt idx="1">
                  <c:v>1228370</c:v>
                </c:pt>
                <c:pt idx="2">
                  <c:v>1410890</c:v>
                </c:pt>
                <c:pt idx="3">
                  <c:v>1023620</c:v>
                </c:pt>
                <c:pt idx="4">
                  <c:v>1198680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計算表!$K$2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計算表!$I$3:$I$7</c:f>
              <c:strCache>
                <c:ptCount val="5"/>
                <c:pt idx="0">
                  <c:v>星スーパー</c:v>
                </c:pt>
                <c:pt idx="1">
                  <c:v>長谷川商店</c:v>
                </c:pt>
                <c:pt idx="2">
                  <c:v>みつくに屋</c:v>
                </c:pt>
                <c:pt idx="3">
                  <c:v>オカクラ堂</c:v>
                </c:pt>
                <c:pt idx="4">
                  <c:v>共栄百貨店</c:v>
                </c:pt>
              </c:strCache>
            </c:strRef>
          </c:cat>
          <c:val>
            <c:numRef>
              <c:f>計算表!$K$3:$K$7</c:f>
              <c:numCache>
                <c:formatCode>#,##0_);[Red]\(#,##0\)</c:formatCode>
                <c:ptCount val="5"/>
                <c:pt idx="0">
                  <c:v>2138</c:v>
                </c:pt>
                <c:pt idx="1">
                  <c:v>1910</c:v>
                </c:pt>
                <c:pt idx="2">
                  <c:v>2166</c:v>
                </c:pt>
                <c:pt idx="3">
                  <c:v>1572</c:v>
                </c:pt>
                <c:pt idx="4">
                  <c:v>1804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  <c:min val="7900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13</xdr:row>
      <xdr:rowOff>0</xdr:rowOff>
    </xdr:from>
    <xdr:to>
      <xdr:col>14</xdr:col>
      <xdr:colOff>371475</xdr:colOff>
      <xdr:row>29</xdr:row>
      <xdr:rowOff>95250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5EACF9B-5AE2-4265-8A01-B612ED3A05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/>
  </sheetViews>
  <sheetFormatPr defaultRowHeight="13.5"/>
  <cols>
    <col min="1" max="1" width="7.5" style="1" customWidth="1"/>
    <col min="2" max="2" width="7.5" style="1" bestFit="1" customWidth="1"/>
    <col min="3" max="3" width="5.5" style="1" bestFit="1" customWidth="1"/>
    <col min="4" max="4" width="3.5" style="1" bestFit="1" customWidth="1"/>
    <col min="5" max="6" width="4.5" style="1" bestFit="1" customWidth="1"/>
    <col min="7" max="7" width="4.625" style="1" customWidth="1"/>
    <col min="8" max="8" width="7.5" style="1" bestFit="1" customWidth="1"/>
    <col min="9" max="9" width="11.625" style="1" bestFit="1" customWidth="1"/>
    <col min="10" max="10" width="7.5" style="1" bestFit="1" customWidth="1"/>
    <col min="11" max="11" width="9" style="1"/>
    <col min="12" max="12" width="5.5" style="1" bestFit="1" customWidth="1"/>
    <col min="13" max="13" width="9.5" style="1" bestFit="1" customWidth="1"/>
    <col min="14" max="16384" width="9" style="1"/>
  </cols>
  <sheetData>
    <row r="1" spans="1:13">
      <c r="A1" t="s">
        <v>42</v>
      </c>
      <c r="H1" t="s">
        <v>7</v>
      </c>
      <c r="L1" s="1" t="s">
        <v>25</v>
      </c>
    </row>
    <row r="2" spans="1:13">
      <c r="A2" s="47" t="s">
        <v>10</v>
      </c>
      <c r="B2" s="47" t="s">
        <v>6</v>
      </c>
      <c r="C2" s="47" t="s">
        <v>14</v>
      </c>
      <c r="D2" s="47" t="s">
        <v>16</v>
      </c>
      <c r="E2" s="47"/>
      <c r="F2" s="47"/>
      <c r="H2" s="12" t="s">
        <v>11</v>
      </c>
      <c r="I2" s="2" t="s">
        <v>0</v>
      </c>
      <c r="J2" s="12" t="s">
        <v>8</v>
      </c>
      <c r="L2" s="43" t="s">
        <v>26</v>
      </c>
      <c r="M2" s="12" t="s">
        <v>27</v>
      </c>
    </row>
    <row r="3" spans="1:13">
      <c r="A3" s="47"/>
      <c r="B3" s="47"/>
      <c r="C3" s="47"/>
      <c r="D3" s="48" t="s">
        <v>17</v>
      </c>
      <c r="E3" s="48"/>
      <c r="F3" s="48"/>
      <c r="H3" s="4">
        <v>101</v>
      </c>
      <c r="I3" s="18" t="s">
        <v>28</v>
      </c>
      <c r="J3" s="17">
        <v>1860</v>
      </c>
      <c r="K3"/>
      <c r="L3" s="4">
        <v>1</v>
      </c>
      <c r="M3" s="42">
        <v>0.111</v>
      </c>
    </row>
    <row r="4" spans="1:13">
      <c r="A4" s="47"/>
      <c r="B4" s="47"/>
      <c r="C4" s="47"/>
      <c r="D4" s="5">
        <v>1</v>
      </c>
      <c r="E4" s="5">
        <v>320</v>
      </c>
      <c r="F4" s="5">
        <v>440</v>
      </c>
      <c r="H4" s="4">
        <v>102</v>
      </c>
      <c r="I4" s="18" t="s">
        <v>29</v>
      </c>
      <c r="J4" s="17">
        <v>1900</v>
      </c>
      <c r="K4"/>
      <c r="L4" s="4">
        <v>2</v>
      </c>
      <c r="M4" s="42">
        <v>0.11700000000000001</v>
      </c>
    </row>
    <row r="5" spans="1:13">
      <c r="A5" s="4">
        <v>11</v>
      </c>
      <c r="B5" s="13" t="s">
        <v>34</v>
      </c>
      <c r="C5" s="5">
        <v>610</v>
      </c>
      <c r="D5" s="34">
        <v>0.05</v>
      </c>
      <c r="E5" s="34">
        <v>0.06</v>
      </c>
      <c r="F5" s="34">
        <v>7.0000000000000007E-2</v>
      </c>
      <c r="H5" s="4">
        <v>103</v>
      </c>
      <c r="I5" s="18" t="s">
        <v>30</v>
      </c>
      <c r="J5" s="17">
        <v>2210</v>
      </c>
      <c r="K5"/>
      <c r="L5" s="4">
        <v>3</v>
      </c>
      <c r="M5" s="42">
        <v>0.123</v>
      </c>
    </row>
    <row r="6" spans="1:13">
      <c r="A6" s="4">
        <v>12</v>
      </c>
      <c r="B6" s="13" t="s">
        <v>36</v>
      </c>
      <c r="C6" s="5">
        <v>570</v>
      </c>
      <c r="D6" s="34">
        <v>0.06</v>
      </c>
      <c r="E6" s="34">
        <v>7.0000000000000007E-2</v>
      </c>
      <c r="F6" s="34">
        <v>0.08</v>
      </c>
      <c r="H6" s="4">
        <v>201</v>
      </c>
      <c r="I6" s="18" t="s">
        <v>31</v>
      </c>
      <c r="J6" s="17">
        <v>1940</v>
      </c>
      <c r="K6"/>
    </row>
    <row r="7" spans="1:13">
      <c r="A7" s="4">
        <v>13</v>
      </c>
      <c r="B7" s="13" t="s">
        <v>38</v>
      </c>
      <c r="C7" s="5">
        <v>800</v>
      </c>
      <c r="D7" s="34">
        <v>7.0000000000000007E-2</v>
      </c>
      <c r="E7" s="34">
        <v>0.08</v>
      </c>
      <c r="F7" s="34">
        <v>0.09</v>
      </c>
      <c r="H7" s="13">
        <v>202</v>
      </c>
      <c r="I7" s="18" t="s">
        <v>32</v>
      </c>
      <c r="J7" s="17">
        <v>1620</v>
      </c>
      <c r="K7"/>
    </row>
    <row r="8" spans="1:13">
      <c r="A8" s="4">
        <v>14</v>
      </c>
      <c r="B8" s="13" t="s">
        <v>40</v>
      </c>
      <c r="C8" s="5">
        <v>790</v>
      </c>
      <c r="D8" s="34">
        <v>0.08</v>
      </c>
      <c r="E8" s="34">
        <v>0.09</v>
      </c>
      <c r="F8" s="34">
        <v>0.1</v>
      </c>
    </row>
    <row r="9" spans="1:13">
      <c r="A9" s="4">
        <v>15</v>
      </c>
      <c r="B9" s="13" t="s">
        <v>41</v>
      </c>
      <c r="C9" s="5">
        <v>750</v>
      </c>
      <c r="D9" s="34">
        <v>0.09</v>
      </c>
      <c r="E9" s="34">
        <v>0.1</v>
      </c>
      <c r="F9" s="34">
        <v>0.11</v>
      </c>
    </row>
  </sheetData>
  <mergeCells count="5">
    <mergeCell ref="D2:F2"/>
    <mergeCell ref="D3:F3"/>
    <mergeCell ref="A2:A4"/>
    <mergeCell ref="B2:B4"/>
    <mergeCell ref="C2:C4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workbookViewId="0"/>
  </sheetViews>
  <sheetFormatPr defaultRowHeight="13.5"/>
  <cols>
    <col min="1" max="3" width="7.5" style="1" bestFit="1" customWidth="1"/>
    <col min="4" max="4" width="11.5" style="1" customWidth="1"/>
    <col min="5" max="8" width="7.5" style="1" customWidth="1"/>
    <col min="9" max="9" width="11.625" style="1" bestFit="1" customWidth="1"/>
    <col min="10" max="10" width="10.5" style="1" bestFit="1" customWidth="1"/>
    <col min="11" max="11" width="7.5" style="1" bestFit="1" customWidth="1"/>
    <col min="12" max="16384" width="9" style="1"/>
  </cols>
  <sheetData>
    <row r="1" spans="1:11" s="46" customFormat="1">
      <c r="A1" s="9" t="s">
        <v>10</v>
      </c>
      <c r="B1" s="22" t="s">
        <v>6</v>
      </c>
      <c r="C1" s="22" t="s">
        <v>11</v>
      </c>
      <c r="D1" s="22" t="s">
        <v>1</v>
      </c>
      <c r="E1" s="22" t="s">
        <v>2</v>
      </c>
      <c r="F1" s="22" t="s">
        <v>3</v>
      </c>
      <c r="G1" s="22" t="s">
        <v>16</v>
      </c>
      <c r="H1" s="22" t="s">
        <v>15</v>
      </c>
      <c r="I1" s="22" t="s">
        <v>4</v>
      </c>
      <c r="J1" s="22" t="s">
        <v>5</v>
      </c>
      <c r="K1" s="10" t="s">
        <v>18</v>
      </c>
    </row>
    <row r="2" spans="1:11">
      <c r="A2" s="3">
        <v>11</v>
      </c>
      <c r="B2" s="13" t="str">
        <f>VLOOKUP(A2,テーブル!$A$5:$F$9,2,0)</f>
        <v>Ａ商品</v>
      </c>
      <c r="C2" s="4">
        <v>101</v>
      </c>
      <c r="D2" s="4" t="str">
        <f>VLOOKUP(C2,テーブル!$H$3:$J$7,2,0)</f>
        <v>共栄百貨店</v>
      </c>
      <c r="E2" s="23">
        <v>301</v>
      </c>
      <c r="F2" s="23">
        <v>244</v>
      </c>
      <c r="G2" s="35">
        <f>INDEX(テーブル!$D$5:$F$9,MATCH(A2,テーブル!$A$5:$A$9,0),MATCH(F2,テーブル!$D$4:$F$4,1))</f>
        <v>0.05</v>
      </c>
      <c r="H2" s="36">
        <f>ROUNDUP(VLOOKUP(A2,テーブル!$A$5:$F$9,3,0)*(1-G2),-1)</f>
        <v>580</v>
      </c>
      <c r="I2" s="24">
        <f>H2*F2</f>
        <v>141520</v>
      </c>
      <c r="J2" s="24">
        <f>ROUNDDOWN(I2*VLOOKUP(MOD(C2,10),テーブル!$L$3:$M$5,2,0),0)</f>
        <v>15708</v>
      </c>
      <c r="K2" s="25">
        <f>ROUNDDOWN(F2/E2,3)</f>
        <v>0.81</v>
      </c>
    </row>
    <row r="3" spans="1:11">
      <c r="A3" s="3">
        <v>11</v>
      </c>
      <c r="B3" s="13" t="str">
        <f>VLOOKUP(A3,テーブル!$A$5:$F$9,2,0)</f>
        <v>Ａ商品</v>
      </c>
      <c r="C3" s="4">
        <v>102</v>
      </c>
      <c r="D3" s="4" t="str">
        <f>VLOOKUP(C3,テーブル!$H$3:$J$7,2,0)</f>
        <v>長谷川商店</v>
      </c>
      <c r="E3" s="23">
        <v>326</v>
      </c>
      <c r="F3" s="23">
        <v>315</v>
      </c>
      <c r="G3" s="35">
        <f>INDEX(テーブル!$D$5:$F$9,MATCH(A3,テーブル!$A$5:$A$9,0),MATCH(F3,テーブル!$D$4:$F$4,1))</f>
        <v>0.05</v>
      </c>
      <c r="H3" s="36">
        <f>ROUNDUP(VLOOKUP(A3,テーブル!$A$5:$F$9,3,0)*(1-G3),-1)</f>
        <v>580</v>
      </c>
      <c r="I3" s="24">
        <f>H3*F3</f>
        <v>182700</v>
      </c>
      <c r="J3" s="24">
        <f>ROUNDDOWN(I3*VLOOKUP(MOD(C3,10),テーブル!$L$3:$M$5,2,0),0)</f>
        <v>21375</v>
      </c>
      <c r="K3" s="25">
        <f t="shared" ref="K3:K26" si="0">ROUNDDOWN(F3/E3,3)</f>
        <v>0.96599999999999997</v>
      </c>
    </row>
    <row r="4" spans="1:11">
      <c r="A4" s="3">
        <v>11</v>
      </c>
      <c r="B4" s="13" t="str">
        <f>VLOOKUP(A4,テーブル!$A$5:$F$9,2,0)</f>
        <v>Ａ商品</v>
      </c>
      <c r="C4" s="4">
        <v>103</v>
      </c>
      <c r="D4" s="4" t="str">
        <f>VLOOKUP(C4,テーブル!$H$3:$J$7,2,0)</f>
        <v>みつくに屋</v>
      </c>
      <c r="E4" s="23">
        <v>479</v>
      </c>
      <c r="F4" s="23">
        <v>476</v>
      </c>
      <c r="G4" s="35">
        <f>INDEX(テーブル!$D$5:$F$9,MATCH(A4,テーブル!$A$5:$A$9,0),MATCH(F4,テーブル!$D$4:$F$4,1))</f>
        <v>7.0000000000000007E-2</v>
      </c>
      <c r="H4" s="36">
        <f>ROUNDUP(VLOOKUP(A4,テーブル!$A$5:$F$9,3,0)*(1-G4),-1)</f>
        <v>570</v>
      </c>
      <c r="I4" s="24">
        <f t="shared" ref="I4:I26" si="1">H4*F4</f>
        <v>271320</v>
      </c>
      <c r="J4" s="24">
        <f>ROUNDDOWN(I4*VLOOKUP(MOD(C4,10),テーブル!$L$3:$M$5,2,0),0)</f>
        <v>33372</v>
      </c>
      <c r="K4" s="25">
        <f t="shared" si="0"/>
        <v>0.99299999999999999</v>
      </c>
    </row>
    <row r="5" spans="1:11">
      <c r="A5" s="3">
        <v>11</v>
      </c>
      <c r="B5" s="13" t="str">
        <f>VLOOKUP(A5,テーブル!$A$5:$F$9,2,0)</f>
        <v>Ａ商品</v>
      </c>
      <c r="C5" s="4">
        <v>201</v>
      </c>
      <c r="D5" s="4" t="str">
        <f>VLOOKUP(C5,テーブル!$H$3:$J$7,2,0)</f>
        <v>星スーパー</v>
      </c>
      <c r="E5" s="23">
        <v>385</v>
      </c>
      <c r="F5" s="23">
        <v>345</v>
      </c>
      <c r="G5" s="35">
        <f>INDEX(テーブル!$D$5:$F$9,MATCH(A5,テーブル!$A$5:$A$9,0),MATCH(F5,テーブル!$D$4:$F$4,1))</f>
        <v>0.06</v>
      </c>
      <c r="H5" s="36">
        <f>ROUNDUP(VLOOKUP(A5,テーブル!$A$5:$F$9,3,0)*(1-G5),-1)</f>
        <v>580</v>
      </c>
      <c r="I5" s="24">
        <f t="shared" si="1"/>
        <v>200100</v>
      </c>
      <c r="J5" s="24">
        <f>ROUNDDOWN(I5*VLOOKUP(MOD(C5,10),テーブル!$L$3:$M$5,2,0),0)</f>
        <v>22211</v>
      </c>
      <c r="K5" s="25">
        <f t="shared" si="0"/>
        <v>0.89600000000000002</v>
      </c>
    </row>
    <row r="6" spans="1:11">
      <c r="A6" s="3">
        <v>11</v>
      </c>
      <c r="B6" s="13" t="str">
        <f>VLOOKUP(A6,テーブル!$A$5:$F$9,2,0)</f>
        <v>Ａ商品</v>
      </c>
      <c r="C6" s="4">
        <v>202</v>
      </c>
      <c r="D6" s="4" t="str">
        <f>VLOOKUP(C6,テーブル!$H$3:$J$7,2,0)</f>
        <v>オカクラ堂</v>
      </c>
      <c r="E6" s="23">
        <v>277</v>
      </c>
      <c r="F6" s="23">
        <v>251</v>
      </c>
      <c r="G6" s="35">
        <f>INDEX(テーブル!$D$5:$F$9,MATCH(A6,テーブル!$A$5:$A$9,0),MATCH(F6,テーブル!$D$4:$F$4,1))</f>
        <v>0.05</v>
      </c>
      <c r="H6" s="36">
        <f>ROUNDUP(VLOOKUP(A6,テーブル!$A$5:$F$9,3,0)*(1-G6),-1)</f>
        <v>580</v>
      </c>
      <c r="I6" s="24">
        <f t="shared" si="1"/>
        <v>145580</v>
      </c>
      <c r="J6" s="24">
        <f>ROUNDDOWN(I6*VLOOKUP(MOD(C6,10),テーブル!$L$3:$M$5,2,0),0)</f>
        <v>17032</v>
      </c>
      <c r="K6" s="25">
        <f t="shared" si="0"/>
        <v>0.90600000000000003</v>
      </c>
    </row>
    <row r="7" spans="1:11">
      <c r="A7" s="3">
        <v>12</v>
      </c>
      <c r="B7" s="13" t="str">
        <f>VLOOKUP(A7,テーブル!$A$5:$F$9,2,0)</f>
        <v>Ｂ商品</v>
      </c>
      <c r="C7" s="4">
        <v>101</v>
      </c>
      <c r="D7" s="4" t="str">
        <f>VLOOKUP(C7,テーブル!$H$3:$J$7,2,0)</f>
        <v>共栄百貨店</v>
      </c>
      <c r="E7" s="23">
        <v>292</v>
      </c>
      <c r="F7" s="23">
        <v>258</v>
      </c>
      <c r="G7" s="35">
        <f>INDEX(テーブル!$D$5:$F$9,MATCH(A7,テーブル!$A$5:$A$9,0),MATCH(F7,テーブル!$D$4:$F$4,1))</f>
        <v>0.06</v>
      </c>
      <c r="H7" s="36">
        <f>ROUNDUP(VLOOKUP(A7,テーブル!$A$5:$F$9,3,0)*(1-G7),-1)</f>
        <v>540</v>
      </c>
      <c r="I7" s="24">
        <f t="shared" si="1"/>
        <v>139320</v>
      </c>
      <c r="J7" s="24">
        <f>ROUNDDOWN(I7*VLOOKUP(MOD(C7,10),テーブル!$L$3:$M$5,2,0),0)</f>
        <v>15464</v>
      </c>
      <c r="K7" s="25">
        <f t="shared" si="0"/>
        <v>0.88300000000000001</v>
      </c>
    </row>
    <row r="8" spans="1:11">
      <c r="A8" s="3">
        <v>12</v>
      </c>
      <c r="B8" s="13" t="str">
        <f>VLOOKUP(A8,テーブル!$A$5:$F$9,2,0)</f>
        <v>Ｂ商品</v>
      </c>
      <c r="C8" s="4">
        <v>102</v>
      </c>
      <c r="D8" s="4" t="str">
        <f>VLOOKUP(C8,テーブル!$H$3:$J$7,2,0)</f>
        <v>長谷川商店</v>
      </c>
      <c r="E8" s="23">
        <v>524</v>
      </c>
      <c r="F8" s="23">
        <v>448</v>
      </c>
      <c r="G8" s="35">
        <f>INDEX(テーブル!$D$5:$F$9,MATCH(A8,テーブル!$A$5:$A$9,0),MATCH(F8,テーブル!$D$4:$F$4,1))</f>
        <v>0.08</v>
      </c>
      <c r="H8" s="36">
        <f>ROUNDUP(VLOOKUP(A8,テーブル!$A$5:$F$9,3,0)*(1-G8),-1)</f>
        <v>530</v>
      </c>
      <c r="I8" s="24">
        <f t="shared" si="1"/>
        <v>237440</v>
      </c>
      <c r="J8" s="24">
        <f>ROUNDDOWN(I8*VLOOKUP(MOD(C8,10),テーブル!$L$3:$M$5,2,0),0)</f>
        <v>27780</v>
      </c>
      <c r="K8" s="25">
        <f t="shared" si="0"/>
        <v>0.85399999999999998</v>
      </c>
    </row>
    <row r="9" spans="1:11">
      <c r="A9" s="3">
        <v>12</v>
      </c>
      <c r="B9" s="13" t="str">
        <f>VLOOKUP(A9,テーブル!$A$5:$F$9,2,0)</f>
        <v>Ｂ商品</v>
      </c>
      <c r="C9" s="4">
        <v>103</v>
      </c>
      <c r="D9" s="4" t="str">
        <f>VLOOKUP(C9,テーブル!$H$3:$J$7,2,0)</f>
        <v>みつくに屋</v>
      </c>
      <c r="E9" s="23">
        <v>393</v>
      </c>
      <c r="F9" s="23">
        <v>359</v>
      </c>
      <c r="G9" s="35">
        <f>INDEX(テーブル!$D$5:$F$9,MATCH(A9,テーブル!$A$5:$A$9,0),MATCH(F9,テーブル!$D$4:$F$4,1))</f>
        <v>7.0000000000000007E-2</v>
      </c>
      <c r="H9" s="36">
        <f>ROUNDUP(VLOOKUP(A9,テーブル!$A$5:$F$9,3,0)*(1-G9),-1)</f>
        <v>540</v>
      </c>
      <c r="I9" s="24">
        <f t="shared" si="1"/>
        <v>193860</v>
      </c>
      <c r="J9" s="24">
        <f>ROUNDDOWN(I9*VLOOKUP(MOD(C9,10),テーブル!$L$3:$M$5,2,0),0)</f>
        <v>23844</v>
      </c>
      <c r="K9" s="25">
        <f t="shared" si="0"/>
        <v>0.91300000000000003</v>
      </c>
    </row>
    <row r="10" spans="1:11">
      <c r="A10" s="3">
        <v>12</v>
      </c>
      <c r="B10" s="13" t="str">
        <f>VLOOKUP(A10,テーブル!$A$5:$F$9,2,0)</f>
        <v>Ｂ商品</v>
      </c>
      <c r="C10" s="4">
        <v>201</v>
      </c>
      <c r="D10" s="4" t="str">
        <f>VLOOKUP(C10,テーブル!$H$3:$J$7,2,0)</f>
        <v>星スーパー</v>
      </c>
      <c r="E10" s="23">
        <v>496</v>
      </c>
      <c r="F10" s="23">
        <v>482</v>
      </c>
      <c r="G10" s="35">
        <f>INDEX(テーブル!$D$5:$F$9,MATCH(A10,テーブル!$A$5:$A$9,0),MATCH(F10,テーブル!$D$4:$F$4,1))</f>
        <v>0.08</v>
      </c>
      <c r="H10" s="36">
        <f>ROUNDUP(VLOOKUP(A10,テーブル!$A$5:$F$9,3,0)*(1-G10),-1)</f>
        <v>530</v>
      </c>
      <c r="I10" s="24">
        <f t="shared" si="1"/>
        <v>255460</v>
      </c>
      <c r="J10" s="24">
        <f>ROUNDDOWN(I10*VLOOKUP(MOD(C10,10),テーブル!$L$3:$M$5,2,0),0)</f>
        <v>28356</v>
      </c>
      <c r="K10" s="25">
        <f t="shared" si="0"/>
        <v>0.97099999999999997</v>
      </c>
    </row>
    <row r="11" spans="1:11">
      <c r="A11" s="3">
        <v>12</v>
      </c>
      <c r="B11" s="13" t="str">
        <f>VLOOKUP(A11,テーブル!$A$5:$F$9,2,0)</f>
        <v>Ｂ商品</v>
      </c>
      <c r="C11" s="4">
        <v>202</v>
      </c>
      <c r="D11" s="4" t="str">
        <f>VLOOKUP(C11,テーブル!$H$3:$J$7,2,0)</f>
        <v>オカクラ堂</v>
      </c>
      <c r="E11" s="23">
        <v>464</v>
      </c>
      <c r="F11" s="23">
        <v>432</v>
      </c>
      <c r="G11" s="35">
        <f>INDEX(テーブル!$D$5:$F$9,MATCH(A11,テーブル!$A$5:$A$9,0),MATCH(F11,テーブル!$D$4:$F$4,1))</f>
        <v>7.0000000000000007E-2</v>
      </c>
      <c r="H11" s="36">
        <f>ROUNDUP(VLOOKUP(A11,テーブル!$A$5:$F$9,3,0)*(1-G11),-1)</f>
        <v>540</v>
      </c>
      <c r="I11" s="24">
        <f t="shared" si="1"/>
        <v>233280</v>
      </c>
      <c r="J11" s="24">
        <f>ROUNDDOWN(I11*VLOOKUP(MOD(C11,10),テーブル!$L$3:$M$5,2,0),0)</f>
        <v>27293</v>
      </c>
      <c r="K11" s="25">
        <f t="shared" si="0"/>
        <v>0.93100000000000005</v>
      </c>
    </row>
    <row r="12" spans="1:11">
      <c r="A12" s="3">
        <v>13</v>
      </c>
      <c r="B12" s="13" t="str">
        <f>VLOOKUP(A12,テーブル!$A$5:$F$9,2,0)</f>
        <v>Ｃ商品</v>
      </c>
      <c r="C12" s="4">
        <v>101</v>
      </c>
      <c r="D12" s="4" t="str">
        <f>VLOOKUP(C12,テーブル!$H$3:$J$7,2,0)</f>
        <v>共栄百貨店</v>
      </c>
      <c r="E12" s="23">
        <v>271</v>
      </c>
      <c r="F12" s="23">
        <v>250</v>
      </c>
      <c r="G12" s="35">
        <f>INDEX(テーブル!$D$5:$F$9,MATCH(A12,テーブル!$A$5:$A$9,0),MATCH(F12,テーブル!$D$4:$F$4,1))</f>
        <v>7.0000000000000007E-2</v>
      </c>
      <c r="H12" s="36">
        <f>ROUNDUP(VLOOKUP(A12,テーブル!$A$5:$F$9,3,0)*(1-G12),-1)</f>
        <v>750</v>
      </c>
      <c r="I12" s="24">
        <f t="shared" si="1"/>
        <v>187500</v>
      </c>
      <c r="J12" s="24">
        <f>ROUNDDOWN(I12*VLOOKUP(MOD(C12,10),テーブル!$L$3:$M$5,2,0),0)</f>
        <v>20812</v>
      </c>
      <c r="K12" s="25">
        <f t="shared" si="0"/>
        <v>0.92200000000000004</v>
      </c>
    </row>
    <row r="13" spans="1:11">
      <c r="A13" s="3">
        <v>13</v>
      </c>
      <c r="B13" s="13" t="str">
        <f>VLOOKUP(A13,テーブル!$A$5:$F$9,2,0)</f>
        <v>Ｃ商品</v>
      </c>
      <c r="C13" s="4">
        <v>102</v>
      </c>
      <c r="D13" s="4" t="str">
        <f>VLOOKUP(C13,テーブル!$H$3:$J$7,2,0)</f>
        <v>長谷川商店</v>
      </c>
      <c r="E13" s="23">
        <v>391</v>
      </c>
      <c r="F13" s="23">
        <v>380</v>
      </c>
      <c r="G13" s="35">
        <f>INDEX(テーブル!$D$5:$F$9,MATCH(A13,テーブル!$A$5:$A$9,0),MATCH(F13,テーブル!$D$4:$F$4,1))</f>
        <v>0.08</v>
      </c>
      <c r="H13" s="36">
        <f>ROUNDUP(VLOOKUP(A13,テーブル!$A$5:$F$9,3,0)*(1-G13),-1)</f>
        <v>740</v>
      </c>
      <c r="I13" s="24">
        <f t="shared" si="1"/>
        <v>281200</v>
      </c>
      <c r="J13" s="24">
        <f>ROUNDDOWN(I13*VLOOKUP(MOD(C13,10),テーブル!$L$3:$M$5,2,0),0)</f>
        <v>32900</v>
      </c>
      <c r="K13" s="25">
        <f t="shared" si="0"/>
        <v>0.97099999999999997</v>
      </c>
    </row>
    <row r="14" spans="1:11">
      <c r="A14" s="3">
        <v>13</v>
      </c>
      <c r="B14" s="13" t="str">
        <f>VLOOKUP(A14,テーブル!$A$5:$F$9,2,0)</f>
        <v>Ｃ商品</v>
      </c>
      <c r="C14" s="4">
        <v>103</v>
      </c>
      <c r="D14" s="4" t="str">
        <f>VLOOKUP(C14,テーブル!$H$3:$J$7,2,0)</f>
        <v>みつくに屋</v>
      </c>
      <c r="E14" s="23">
        <v>528</v>
      </c>
      <c r="F14" s="23">
        <v>483</v>
      </c>
      <c r="G14" s="35">
        <f>INDEX(テーブル!$D$5:$F$9,MATCH(A14,テーブル!$A$5:$A$9,0),MATCH(F14,テーブル!$D$4:$F$4,1))</f>
        <v>0.09</v>
      </c>
      <c r="H14" s="36">
        <f>ROUNDUP(VLOOKUP(A14,テーブル!$A$5:$F$9,3,0)*(1-G14),-1)</f>
        <v>730</v>
      </c>
      <c r="I14" s="24">
        <f t="shared" si="1"/>
        <v>352590</v>
      </c>
      <c r="J14" s="24">
        <f>ROUNDDOWN(I14*VLOOKUP(MOD(C14,10),テーブル!$L$3:$M$5,2,0),0)</f>
        <v>43368</v>
      </c>
      <c r="K14" s="25">
        <f t="shared" si="0"/>
        <v>0.91400000000000003</v>
      </c>
    </row>
    <row r="15" spans="1:11">
      <c r="A15" s="3">
        <v>13</v>
      </c>
      <c r="B15" s="13" t="str">
        <f>VLOOKUP(A15,テーブル!$A$5:$F$9,2,0)</f>
        <v>Ｃ商品</v>
      </c>
      <c r="C15" s="4">
        <v>201</v>
      </c>
      <c r="D15" s="4" t="str">
        <f>VLOOKUP(C15,テーブル!$H$3:$J$7,2,0)</f>
        <v>星スーパー</v>
      </c>
      <c r="E15" s="23">
        <v>548</v>
      </c>
      <c r="F15" s="23">
        <v>524</v>
      </c>
      <c r="G15" s="35">
        <f>INDEX(テーブル!$D$5:$F$9,MATCH(A15,テーブル!$A$5:$A$9,0),MATCH(F15,テーブル!$D$4:$F$4,1))</f>
        <v>0.09</v>
      </c>
      <c r="H15" s="36">
        <f>ROUNDUP(VLOOKUP(A15,テーブル!$A$5:$F$9,3,0)*(1-G15),-1)</f>
        <v>730</v>
      </c>
      <c r="I15" s="24">
        <f t="shared" si="1"/>
        <v>382520</v>
      </c>
      <c r="J15" s="24">
        <f>ROUNDDOWN(I15*VLOOKUP(MOD(C15,10),テーブル!$L$3:$M$5,2,0),0)</f>
        <v>42459</v>
      </c>
      <c r="K15" s="25">
        <f t="shared" si="0"/>
        <v>0.95599999999999996</v>
      </c>
    </row>
    <row r="16" spans="1:11">
      <c r="A16" s="3">
        <v>13</v>
      </c>
      <c r="B16" s="13" t="str">
        <f>VLOOKUP(A16,テーブル!$A$5:$F$9,2,0)</f>
        <v>Ｃ商品</v>
      </c>
      <c r="C16" s="4">
        <v>202</v>
      </c>
      <c r="D16" s="4" t="str">
        <f>VLOOKUP(C16,テーブル!$H$3:$J$7,2,0)</f>
        <v>オカクラ堂</v>
      </c>
      <c r="E16" s="23">
        <v>478</v>
      </c>
      <c r="F16" s="23">
        <v>427</v>
      </c>
      <c r="G16" s="35">
        <f>INDEX(テーブル!$D$5:$F$9,MATCH(A16,テーブル!$A$5:$A$9,0),MATCH(F16,テーブル!$D$4:$F$4,1))</f>
        <v>0.08</v>
      </c>
      <c r="H16" s="36">
        <f>ROUNDUP(VLOOKUP(A16,テーブル!$A$5:$F$9,3,0)*(1-G16),-1)</f>
        <v>740</v>
      </c>
      <c r="I16" s="24">
        <f t="shared" si="1"/>
        <v>315980</v>
      </c>
      <c r="J16" s="24">
        <f>ROUNDDOWN(I16*VLOOKUP(MOD(C16,10),テーブル!$L$3:$M$5,2,0),0)</f>
        <v>36969</v>
      </c>
      <c r="K16" s="25">
        <f t="shared" si="0"/>
        <v>0.89300000000000002</v>
      </c>
    </row>
    <row r="17" spans="1:11">
      <c r="A17" s="3">
        <v>14</v>
      </c>
      <c r="B17" s="13" t="str">
        <f>VLOOKUP(A17,テーブル!$A$5:$F$9,2,0)</f>
        <v>Ｄ商品</v>
      </c>
      <c r="C17" s="4">
        <v>101</v>
      </c>
      <c r="D17" s="4" t="str">
        <f>VLOOKUP(C17,テーブル!$H$3:$J$7,2,0)</f>
        <v>共栄百貨店</v>
      </c>
      <c r="E17" s="23">
        <v>593</v>
      </c>
      <c r="F17" s="23">
        <v>510</v>
      </c>
      <c r="G17" s="35">
        <f>INDEX(テーブル!$D$5:$F$9,MATCH(A17,テーブル!$A$5:$A$9,0),MATCH(F17,テーブル!$D$4:$F$4,1))</f>
        <v>0.1</v>
      </c>
      <c r="H17" s="36">
        <f>ROUNDUP(VLOOKUP(A17,テーブル!$A$5:$F$9,3,0)*(1-G17),-1)</f>
        <v>720</v>
      </c>
      <c r="I17" s="24">
        <f t="shared" si="1"/>
        <v>367200</v>
      </c>
      <c r="J17" s="24">
        <f>ROUNDDOWN(I17*VLOOKUP(MOD(C17,10),テーブル!$L$3:$M$5,2,0),0)</f>
        <v>40759</v>
      </c>
      <c r="K17" s="25">
        <f t="shared" si="0"/>
        <v>0.86</v>
      </c>
    </row>
    <row r="18" spans="1:11">
      <c r="A18" s="3">
        <v>14</v>
      </c>
      <c r="B18" s="13" t="str">
        <f>VLOOKUP(A18,テーブル!$A$5:$F$9,2,0)</f>
        <v>Ｄ商品</v>
      </c>
      <c r="C18" s="4">
        <v>102</v>
      </c>
      <c r="D18" s="4" t="str">
        <f>VLOOKUP(C18,テーブル!$H$3:$J$7,2,0)</f>
        <v>長谷川商店</v>
      </c>
      <c r="E18" s="23">
        <v>233</v>
      </c>
      <c r="F18" s="23">
        <v>219</v>
      </c>
      <c r="G18" s="35">
        <f>INDEX(テーブル!$D$5:$F$9,MATCH(A18,テーブル!$A$5:$A$9,0),MATCH(F18,テーブル!$D$4:$F$4,1))</f>
        <v>0.08</v>
      </c>
      <c r="H18" s="36">
        <f>ROUNDUP(VLOOKUP(A18,テーブル!$A$5:$F$9,3,0)*(1-G18),-1)</f>
        <v>730</v>
      </c>
      <c r="I18" s="24">
        <f t="shared" si="1"/>
        <v>159870</v>
      </c>
      <c r="J18" s="24">
        <f>ROUNDDOWN(I18*VLOOKUP(MOD(C18,10),テーブル!$L$3:$M$5,2,0),0)</f>
        <v>18704</v>
      </c>
      <c r="K18" s="25">
        <f t="shared" si="0"/>
        <v>0.93899999999999995</v>
      </c>
    </row>
    <row r="19" spans="1:11">
      <c r="A19" s="3">
        <v>14</v>
      </c>
      <c r="B19" s="13" t="str">
        <f>VLOOKUP(A19,テーブル!$A$5:$F$9,2,0)</f>
        <v>Ｄ商品</v>
      </c>
      <c r="C19" s="4">
        <v>103</v>
      </c>
      <c r="D19" s="4" t="str">
        <f>VLOOKUP(C19,テーブル!$H$3:$J$7,2,0)</f>
        <v>みつくに屋</v>
      </c>
      <c r="E19" s="23">
        <v>453</v>
      </c>
      <c r="F19" s="23">
        <v>412</v>
      </c>
      <c r="G19" s="35">
        <f>INDEX(テーブル!$D$5:$F$9,MATCH(A19,テーブル!$A$5:$A$9,0),MATCH(F19,テーブル!$D$4:$F$4,1))</f>
        <v>0.09</v>
      </c>
      <c r="H19" s="36">
        <f>ROUNDUP(VLOOKUP(A19,テーブル!$A$5:$F$9,3,0)*(1-G19),-1)</f>
        <v>720</v>
      </c>
      <c r="I19" s="24">
        <f t="shared" si="1"/>
        <v>296640</v>
      </c>
      <c r="J19" s="24">
        <f>ROUNDDOWN(I19*VLOOKUP(MOD(C19,10),テーブル!$L$3:$M$5,2,0),0)</f>
        <v>36486</v>
      </c>
      <c r="K19" s="25">
        <f t="shared" si="0"/>
        <v>0.90900000000000003</v>
      </c>
    </row>
    <row r="20" spans="1:11">
      <c r="A20" s="3">
        <v>14</v>
      </c>
      <c r="B20" s="13" t="str">
        <f>VLOOKUP(A20,テーブル!$A$5:$F$9,2,0)</f>
        <v>Ｄ商品</v>
      </c>
      <c r="C20" s="4">
        <v>201</v>
      </c>
      <c r="D20" s="4" t="str">
        <f>VLOOKUP(C20,テーブル!$H$3:$J$7,2,0)</f>
        <v>星スーパー</v>
      </c>
      <c r="E20" s="23">
        <v>414</v>
      </c>
      <c r="F20" s="23">
        <v>391</v>
      </c>
      <c r="G20" s="35">
        <f>INDEX(テーブル!$D$5:$F$9,MATCH(A20,テーブル!$A$5:$A$9,0),MATCH(F20,テーブル!$D$4:$F$4,1))</f>
        <v>0.09</v>
      </c>
      <c r="H20" s="36">
        <f>ROUNDUP(VLOOKUP(A20,テーブル!$A$5:$F$9,3,0)*(1-G20),-1)</f>
        <v>720</v>
      </c>
      <c r="I20" s="24">
        <f t="shared" si="1"/>
        <v>281520</v>
      </c>
      <c r="J20" s="24">
        <f>ROUNDDOWN(I20*VLOOKUP(MOD(C20,10),テーブル!$L$3:$M$5,2,0),0)</f>
        <v>31248</v>
      </c>
      <c r="K20" s="25">
        <f t="shared" si="0"/>
        <v>0.94399999999999995</v>
      </c>
    </row>
    <row r="21" spans="1:11">
      <c r="A21" s="3">
        <v>14</v>
      </c>
      <c r="B21" s="13" t="str">
        <f>VLOOKUP(A21,テーブル!$A$5:$F$9,2,0)</f>
        <v>Ｄ商品</v>
      </c>
      <c r="C21" s="4">
        <v>202</v>
      </c>
      <c r="D21" s="4" t="str">
        <f>VLOOKUP(C21,テーブル!$H$3:$J$7,2,0)</f>
        <v>オカクラ堂</v>
      </c>
      <c r="E21" s="23">
        <v>281</v>
      </c>
      <c r="F21" s="23">
        <v>250</v>
      </c>
      <c r="G21" s="35">
        <f>INDEX(テーブル!$D$5:$F$9,MATCH(A21,テーブル!$A$5:$A$9,0),MATCH(F21,テーブル!$D$4:$F$4,1))</f>
        <v>0.08</v>
      </c>
      <c r="H21" s="36">
        <f>ROUNDUP(VLOOKUP(A21,テーブル!$A$5:$F$9,3,0)*(1-G21),-1)</f>
        <v>730</v>
      </c>
      <c r="I21" s="24">
        <f t="shared" si="1"/>
        <v>182500</v>
      </c>
      <c r="J21" s="24">
        <f>ROUNDDOWN(I21*VLOOKUP(MOD(C21,10),テーブル!$L$3:$M$5,2,0),0)</f>
        <v>21352</v>
      </c>
      <c r="K21" s="25">
        <f t="shared" si="0"/>
        <v>0.88900000000000001</v>
      </c>
    </row>
    <row r="22" spans="1:11">
      <c r="A22" s="3">
        <v>15</v>
      </c>
      <c r="B22" s="13" t="str">
        <f>VLOOKUP(A22,テーブル!$A$5:$F$9,2,0)</f>
        <v>Ｅ商品</v>
      </c>
      <c r="C22" s="4">
        <v>101</v>
      </c>
      <c r="D22" s="4" t="str">
        <f>VLOOKUP(C22,テーブル!$H$3:$J$7,2,0)</f>
        <v>共栄百貨店</v>
      </c>
      <c r="E22" s="23">
        <v>579</v>
      </c>
      <c r="F22" s="23">
        <v>542</v>
      </c>
      <c r="G22" s="35">
        <f>INDEX(テーブル!$D$5:$F$9,MATCH(A22,テーブル!$A$5:$A$9,0),MATCH(F22,テーブル!$D$4:$F$4,1))</f>
        <v>0.11</v>
      </c>
      <c r="H22" s="36">
        <f>ROUNDUP(VLOOKUP(A22,テーブル!$A$5:$F$9,3,0)*(1-G22),-1)</f>
        <v>670</v>
      </c>
      <c r="I22" s="24">
        <f t="shared" si="1"/>
        <v>363140</v>
      </c>
      <c r="J22" s="24">
        <f>ROUNDDOWN(I22*VLOOKUP(MOD(C22,10),テーブル!$L$3:$M$5,2,0),0)</f>
        <v>40308</v>
      </c>
      <c r="K22" s="25">
        <f t="shared" si="0"/>
        <v>0.93600000000000005</v>
      </c>
    </row>
    <row r="23" spans="1:11">
      <c r="A23" s="3">
        <v>15</v>
      </c>
      <c r="B23" s="13" t="str">
        <f>VLOOKUP(A23,テーブル!$A$5:$F$9,2,0)</f>
        <v>Ｅ商品</v>
      </c>
      <c r="C23" s="4">
        <v>102</v>
      </c>
      <c r="D23" s="4" t="str">
        <f>VLOOKUP(C23,テーブル!$H$3:$J$7,2,0)</f>
        <v>長谷川商店</v>
      </c>
      <c r="E23" s="23">
        <v>577</v>
      </c>
      <c r="F23" s="23">
        <v>548</v>
      </c>
      <c r="G23" s="35">
        <f>INDEX(テーブル!$D$5:$F$9,MATCH(A23,テーブル!$A$5:$A$9,0),MATCH(F23,テーブル!$D$4:$F$4,1))</f>
        <v>0.11</v>
      </c>
      <c r="H23" s="36">
        <f>ROUNDUP(VLOOKUP(A23,テーブル!$A$5:$F$9,3,0)*(1-G23),-1)</f>
        <v>670</v>
      </c>
      <c r="I23" s="24">
        <f t="shared" si="1"/>
        <v>367160</v>
      </c>
      <c r="J23" s="24">
        <f>ROUNDDOWN(I23*VLOOKUP(MOD(C23,10),テーブル!$L$3:$M$5,2,0),0)</f>
        <v>42957</v>
      </c>
      <c r="K23" s="25">
        <f t="shared" si="0"/>
        <v>0.94899999999999995</v>
      </c>
    </row>
    <row r="24" spans="1:11">
      <c r="A24" s="3">
        <v>15</v>
      </c>
      <c r="B24" s="13" t="str">
        <f>VLOOKUP(A24,テーブル!$A$5:$F$9,2,0)</f>
        <v>Ｅ商品</v>
      </c>
      <c r="C24" s="4">
        <v>103</v>
      </c>
      <c r="D24" s="4" t="str">
        <f>VLOOKUP(C24,テーブル!$H$3:$J$7,2,0)</f>
        <v>みつくに屋</v>
      </c>
      <c r="E24" s="23">
        <v>479</v>
      </c>
      <c r="F24" s="23">
        <v>436</v>
      </c>
      <c r="G24" s="35">
        <f>INDEX(テーブル!$D$5:$F$9,MATCH(A24,テーブル!$A$5:$A$9,0),MATCH(F24,テーブル!$D$4:$F$4,1))</f>
        <v>0.1</v>
      </c>
      <c r="H24" s="36">
        <f>ROUNDUP(VLOOKUP(A24,テーブル!$A$5:$F$9,3,0)*(1-G24),-1)</f>
        <v>680</v>
      </c>
      <c r="I24" s="24">
        <f t="shared" si="1"/>
        <v>296480</v>
      </c>
      <c r="J24" s="24">
        <f>ROUNDDOWN(I24*VLOOKUP(MOD(C24,10),テーブル!$L$3:$M$5,2,0),0)</f>
        <v>36467</v>
      </c>
      <c r="K24" s="25">
        <f t="shared" si="0"/>
        <v>0.91</v>
      </c>
    </row>
    <row r="25" spans="1:11">
      <c r="A25" s="3">
        <v>15</v>
      </c>
      <c r="B25" s="13" t="str">
        <f>VLOOKUP(A25,テーブル!$A$5:$F$9,2,0)</f>
        <v>Ｅ商品</v>
      </c>
      <c r="C25" s="4">
        <v>201</v>
      </c>
      <c r="D25" s="4" t="str">
        <f>VLOOKUP(C25,テーブル!$H$3:$J$7,2,0)</f>
        <v>星スーパー</v>
      </c>
      <c r="E25" s="23">
        <v>453</v>
      </c>
      <c r="F25" s="23">
        <v>396</v>
      </c>
      <c r="G25" s="35">
        <f>INDEX(テーブル!$D$5:$F$9,MATCH(A25,テーブル!$A$5:$A$9,0),MATCH(F25,テーブル!$D$4:$F$4,1))</f>
        <v>0.1</v>
      </c>
      <c r="H25" s="36">
        <f>ROUNDUP(VLOOKUP(A25,テーブル!$A$5:$F$9,3,0)*(1-G25),-1)</f>
        <v>680</v>
      </c>
      <c r="I25" s="24">
        <f t="shared" si="1"/>
        <v>269280</v>
      </c>
      <c r="J25" s="24">
        <f>ROUNDDOWN(I25*VLOOKUP(MOD(C25,10),テーブル!$L$3:$M$5,2,0),0)</f>
        <v>29890</v>
      </c>
      <c r="K25" s="25">
        <f t="shared" si="0"/>
        <v>0.874</v>
      </c>
    </row>
    <row r="26" spans="1:11">
      <c r="A26" s="3">
        <v>15</v>
      </c>
      <c r="B26" s="13" t="str">
        <f>VLOOKUP(A26,テーブル!$A$5:$F$9,2,0)</f>
        <v>Ｅ商品</v>
      </c>
      <c r="C26" s="4">
        <v>202</v>
      </c>
      <c r="D26" s="4" t="str">
        <f>VLOOKUP(C26,テーブル!$H$3:$J$7,2,0)</f>
        <v>オカクラ堂</v>
      </c>
      <c r="E26" s="23">
        <v>217</v>
      </c>
      <c r="F26" s="23">
        <v>212</v>
      </c>
      <c r="G26" s="35">
        <f>INDEX(テーブル!$D$5:$F$9,MATCH(A26,テーブル!$A$5:$A$9,0),MATCH(F26,テーブル!$D$4:$F$4,1))</f>
        <v>0.09</v>
      </c>
      <c r="H26" s="36">
        <f>ROUNDUP(VLOOKUP(A26,テーブル!$A$5:$F$9,3,0)*(1-G26),-1)</f>
        <v>690</v>
      </c>
      <c r="I26" s="24">
        <f t="shared" si="1"/>
        <v>146280</v>
      </c>
      <c r="J26" s="24">
        <f>ROUNDDOWN(I26*VLOOKUP(MOD(C26,10),テーブル!$L$3:$M$5,2,0),0)</f>
        <v>17114</v>
      </c>
      <c r="K26" s="25">
        <f t="shared" si="0"/>
        <v>0.97599999999999998</v>
      </c>
    </row>
    <row r="27" spans="1:11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8"/>
    </row>
    <row r="28" spans="1:11" ht="14.25" thickBot="1">
      <c r="A28" s="29"/>
      <c r="B28" s="30" t="s">
        <v>9</v>
      </c>
      <c r="C28" s="15"/>
      <c r="D28" s="31"/>
      <c r="E28" s="32">
        <f>SUM(E2:E26)</f>
        <v>10432</v>
      </c>
      <c r="F28" s="32">
        <f>SUM(F2:F26)</f>
        <v>9590</v>
      </c>
      <c r="G28" s="32"/>
      <c r="H28" s="32"/>
      <c r="I28" s="32">
        <f>SUM(I2:I26)</f>
        <v>6250440</v>
      </c>
      <c r="J28" s="32">
        <f>SUM(J2:J26)</f>
        <v>724228</v>
      </c>
      <c r="K28" s="33"/>
    </row>
    <row r="29" spans="1:11">
      <c r="F29" s="14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5"/>
  <sheetViews>
    <sheetView workbookViewId="0">
      <selection activeCell="B3" sqref="B3"/>
    </sheetView>
  </sheetViews>
  <sheetFormatPr defaultRowHeight="13.5"/>
  <cols>
    <col min="1" max="2" width="7.5" style="1" bestFit="1" customWidth="1"/>
    <col min="3" max="3" width="11.625" style="1" bestFit="1" customWidth="1"/>
    <col min="4" max="4" width="10.5" style="1" bestFit="1" customWidth="1"/>
    <col min="5" max="5" width="8.5" style="1" customWidth="1"/>
    <col min="6" max="6" width="6.5" style="1" bestFit="1" customWidth="1"/>
    <col min="7" max="7" width="7.375" style="1" customWidth="1"/>
    <col min="8" max="8" width="7.5" style="1" customWidth="1"/>
    <col min="9" max="9" width="11.625" style="1" bestFit="1" customWidth="1"/>
    <col min="10" max="12" width="7.5" style="1" bestFit="1" customWidth="1"/>
    <col min="13" max="13" width="10.5" style="1" bestFit="1" customWidth="1"/>
    <col min="14" max="14" width="8.5" style="1" bestFit="1" customWidth="1"/>
    <col min="15" max="15" width="11.625" style="1" bestFit="1" customWidth="1"/>
    <col min="16" max="16" width="8.5" style="1" bestFit="1" customWidth="1"/>
    <col min="17" max="16384" width="9" style="1"/>
  </cols>
  <sheetData>
    <row r="1" spans="1:16" ht="14.25" thickBot="1">
      <c r="A1" s="50" t="s">
        <v>12</v>
      </c>
      <c r="B1" s="50"/>
      <c r="C1" s="50"/>
      <c r="D1" s="50"/>
      <c r="E1" s="50"/>
      <c r="F1" s="50"/>
      <c r="H1" s="49" t="s">
        <v>24</v>
      </c>
      <c r="I1" s="49"/>
      <c r="J1" s="49"/>
      <c r="K1" s="49"/>
      <c r="L1" s="49"/>
      <c r="M1" s="49"/>
      <c r="N1" s="49"/>
      <c r="O1" s="49"/>
      <c r="P1" s="49"/>
    </row>
    <row r="2" spans="1:16">
      <c r="A2" s="9" t="s">
        <v>6</v>
      </c>
      <c r="B2" s="22" t="s">
        <v>3</v>
      </c>
      <c r="C2" s="22" t="s">
        <v>4</v>
      </c>
      <c r="D2" s="22" t="s">
        <v>5</v>
      </c>
      <c r="E2" s="22" t="s">
        <v>19</v>
      </c>
      <c r="F2" s="10" t="s">
        <v>20</v>
      </c>
      <c r="H2" s="38" t="s">
        <v>11</v>
      </c>
      <c r="I2" s="39" t="s">
        <v>1</v>
      </c>
      <c r="J2" s="39" t="s">
        <v>2</v>
      </c>
      <c r="K2" s="39" t="s">
        <v>3</v>
      </c>
      <c r="L2" s="22" t="s">
        <v>13</v>
      </c>
      <c r="M2" s="39" t="s">
        <v>4</v>
      </c>
      <c r="N2" s="39" t="s">
        <v>5</v>
      </c>
      <c r="O2" s="39" t="s">
        <v>21</v>
      </c>
      <c r="P2" s="10" t="s">
        <v>22</v>
      </c>
    </row>
    <row r="3" spans="1:16">
      <c r="A3" s="20" t="s">
        <v>33</v>
      </c>
      <c r="B3" s="5">
        <f>SUMIF(データ表!$B$2:$B$26,$A3,データ表!F$2:F$26)</f>
        <v>1631</v>
      </c>
      <c r="C3" s="5">
        <f>SUMIF(データ表!$B$2:$B$26,$A3,データ表!I$2:I$26)</f>
        <v>941220</v>
      </c>
      <c r="D3" s="5">
        <f>SUMIF(データ表!$B$2:$B$26,$A3,データ表!J$2:J$26)</f>
        <v>109698</v>
      </c>
      <c r="E3" s="5">
        <f>SUMIF(データ表!$B$2:$B$26,A3,データ表!$E$2:$E$26)-B3</f>
        <v>137</v>
      </c>
      <c r="F3" s="44" t="str">
        <f>IF(AND(E3&lt;180,D3&gt;=AVERAGE($D$3:$D$7)),"好調","")</f>
        <v/>
      </c>
      <c r="G3" s="11"/>
      <c r="H3" s="3">
        <v>201</v>
      </c>
      <c r="I3" s="4" t="str">
        <f>VLOOKUP(H3,テーブル!$H$3:$J$7,2,0)</f>
        <v>星スーパー</v>
      </c>
      <c r="J3" s="5">
        <f>SUMIF(データ表!$C$2:$C$26,$H3,データ表!E$2:E$26)</f>
        <v>2296</v>
      </c>
      <c r="K3" s="5">
        <f>SUMIF(データ表!$C$2:$C$26,$H3,データ表!F$2:F$26)</f>
        <v>2138</v>
      </c>
      <c r="L3" s="34">
        <f>ROUNDDOWN(K3/VLOOKUP(H3,テーブル!$H$3:$J$7,3,0),2)</f>
        <v>1.1000000000000001</v>
      </c>
      <c r="M3" s="5">
        <f>SUMIF(データ表!$C$2:$C$26,$H3,データ表!I$2:I$26)</f>
        <v>1388880</v>
      </c>
      <c r="N3" s="5">
        <f>SUMIF(データ表!$C$2:$C$26,$H3,データ表!J$2:J$26)</f>
        <v>154164</v>
      </c>
      <c r="O3" s="5">
        <f>ROUNDUP(IF(OR(K3&gt;=2000,L3&gt;=100%),N3*10.5%,N3*9.5%),-2)</f>
        <v>16200</v>
      </c>
      <c r="P3" s="41">
        <f>N3+O3</f>
        <v>170364</v>
      </c>
    </row>
    <row r="4" spans="1:16">
      <c r="A4" s="20" t="s">
        <v>35</v>
      </c>
      <c r="B4" s="5">
        <f>SUMIF(データ表!$B$2:$B$26,$A4,データ表!F$2:F$26)</f>
        <v>1979</v>
      </c>
      <c r="C4" s="5">
        <f>SUMIF(データ表!$B$2:$B$26,$A4,データ表!I$2:I$26)</f>
        <v>1059360</v>
      </c>
      <c r="D4" s="5">
        <f>SUMIF(データ表!$B$2:$B$26,$A4,データ表!J$2:J$26)</f>
        <v>122737</v>
      </c>
      <c r="E4" s="5">
        <f>SUMIF(データ表!$B$2:$B$26,A4,データ表!$E$2:$E$26)-B4</f>
        <v>190</v>
      </c>
      <c r="F4" s="44" t="str">
        <f t="shared" ref="F4:F7" si="0">IF(AND(E4&lt;180,D4&gt;=AVERAGE($D$3:$D$7)),"好調","")</f>
        <v/>
      </c>
      <c r="G4" s="16"/>
      <c r="H4" s="3">
        <v>102</v>
      </c>
      <c r="I4" s="4" t="str">
        <f>VLOOKUP(H4,テーブル!$H$3:$J$7,2,0)</f>
        <v>長谷川商店</v>
      </c>
      <c r="J4" s="5">
        <f>SUMIF(データ表!$C$2:$C$26,$H4,データ表!E$2:E$26)</f>
        <v>2051</v>
      </c>
      <c r="K4" s="5">
        <f>SUMIF(データ表!$C$2:$C$26,$H4,データ表!F$2:F$26)</f>
        <v>1910</v>
      </c>
      <c r="L4" s="34">
        <f>ROUNDDOWN(K4/VLOOKUP(H4,テーブル!$H$3:$J$7,3,0),2)</f>
        <v>1</v>
      </c>
      <c r="M4" s="5">
        <f>SUMIF(データ表!$C$2:$C$26,$H4,データ表!I$2:I$26)</f>
        <v>1228370</v>
      </c>
      <c r="N4" s="5">
        <f>SUMIF(データ表!$C$2:$C$26,$H4,データ表!J$2:J$26)</f>
        <v>143716</v>
      </c>
      <c r="O4" s="5">
        <f t="shared" ref="O4:O7" si="1">ROUNDUP(IF(OR(K4&gt;=2000,L4&gt;=100%),N4*10.5%,N4*9.5%),-2)</f>
        <v>15100</v>
      </c>
      <c r="P4" s="41">
        <f>N4+O4</f>
        <v>158816</v>
      </c>
    </row>
    <row r="5" spans="1:16">
      <c r="A5" s="20" t="s">
        <v>37</v>
      </c>
      <c r="B5" s="5">
        <f>SUMIF(データ表!$B$2:$B$26,$A5,データ表!F$2:F$26)</f>
        <v>2064</v>
      </c>
      <c r="C5" s="5">
        <f>SUMIF(データ表!$B$2:$B$26,$A5,データ表!I$2:I$26)</f>
        <v>1519790</v>
      </c>
      <c r="D5" s="5">
        <f>SUMIF(データ表!$B$2:$B$26,$A5,データ表!J$2:J$26)</f>
        <v>176508</v>
      </c>
      <c r="E5" s="5">
        <f>SUMIF(データ表!$B$2:$B$26,A5,データ表!$E$2:$E$26)-B5</f>
        <v>152</v>
      </c>
      <c r="F5" s="44" t="str">
        <f t="shared" si="0"/>
        <v>好調</v>
      </c>
      <c r="G5" s="16"/>
      <c r="H5" s="3">
        <v>103</v>
      </c>
      <c r="I5" s="4" t="str">
        <f>VLOOKUP(H5,テーブル!$H$3:$J$7,2,0)</f>
        <v>みつくに屋</v>
      </c>
      <c r="J5" s="5">
        <f>SUMIF(データ表!$C$2:$C$26,$H5,データ表!E$2:E$26)</f>
        <v>2332</v>
      </c>
      <c r="K5" s="5">
        <f>SUMIF(データ表!$C$2:$C$26,$H5,データ表!F$2:F$26)</f>
        <v>2166</v>
      </c>
      <c r="L5" s="34">
        <f>ROUNDDOWN(K5/VLOOKUP(H5,テーブル!$H$3:$J$7,3,0),2)</f>
        <v>0.98</v>
      </c>
      <c r="M5" s="5">
        <f>SUMIF(データ表!$C$2:$C$26,$H5,データ表!I$2:I$26)</f>
        <v>1410890</v>
      </c>
      <c r="N5" s="5">
        <f>SUMIF(データ表!$C$2:$C$26,$H5,データ表!J$2:J$26)</f>
        <v>173537</v>
      </c>
      <c r="O5" s="5">
        <f t="shared" si="1"/>
        <v>18300</v>
      </c>
      <c r="P5" s="41">
        <f>N5+O5</f>
        <v>191837</v>
      </c>
    </row>
    <row r="6" spans="1:16">
      <c r="A6" s="20" t="s">
        <v>39</v>
      </c>
      <c r="B6" s="5">
        <f>SUMIF(データ表!$B$2:$B$26,$A6,データ表!F$2:F$26)</f>
        <v>1782</v>
      </c>
      <c r="C6" s="5">
        <f>SUMIF(データ表!$B$2:$B$26,$A6,データ表!I$2:I$26)</f>
        <v>1287730</v>
      </c>
      <c r="D6" s="5">
        <f>SUMIF(データ表!$B$2:$B$26,$A6,データ表!J$2:J$26)</f>
        <v>148549</v>
      </c>
      <c r="E6" s="5">
        <f>SUMIF(データ表!$B$2:$B$26,A6,データ表!$E$2:$E$26)-B6</f>
        <v>192</v>
      </c>
      <c r="F6" s="44" t="str">
        <f t="shared" si="0"/>
        <v/>
      </c>
      <c r="G6" s="16"/>
      <c r="H6" s="3">
        <v>202</v>
      </c>
      <c r="I6" s="4" t="str">
        <f>VLOOKUP(H6,テーブル!$H$3:$J$7,2,0)</f>
        <v>オカクラ堂</v>
      </c>
      <c r="J6" s="5">
        <f>SUMIF(データ表!$C$2:$C$26,$H6,データ表!E$2:E$26)</f>
        <v>1717</v>
      </c>
      <c r="K6" s="5">
        <f>SUMIF(データ表!$C$2:$C$26,$H6,データ表!F$2:F$26)</f>
        <v>1572</v>
      </c>
      <c r="L6" s="34">
        <f>ROUNDDOWN(K6/VLOOKUP(H6,テーブル!$H$3:$J$7,3,0),2)</f>
        <v>0.97</v>
      </c>
      <c r="M6" s="5">
        <f>SUMIF(データ表!$C$2:$C$26,$H6,データ表!I$2:I$26)</f>
        <v>1023620</v>
      </c>
      <c r="N6" s="5">
        <f>SUMIF(データ表!$C$2:$C$26,$H6,データ表!J$2:J$26)</f>
        <v>119760</v>
      </c>
      <c r="O6" s="5">
        <f t="shared" si="1"/>
        <v>11400</v>
      </c>
      <c r="P6" s="41">
        <f>N6+O6</f>
        <v>131160</v>
      </c>
    </row>
    <row r="7" spans="1:16" ht="14.25" thickBot="1">
      <c r="A7" s="21" t="s">
        <v>41</v>
      </c>
      <c r="B7" s="7">
        <f>SUMIF(データ表!$B$2:$B$26,$A7,データ表!F$2:F$26)</f>
        <v>2134</v>
      </c>
      <c r="C7" s="7">
        <f>SUMIF(データ表!$B$2:$B$26,$A7,データ表!I$2:I$26)</f>
        <v>1442340</v>
      </c>
      <c r="D7" s="7">
        <f>SUMIF(データ表!$B$2:$B$26,$A7,データ表!J$2:J$26)</f>
        <v>166736</v>
      </c>
      <c r="E7" s="7">
        <f>SUMIF(データ表!$B$2:$B$26,A7,データ表!$E$2:$E$26)-B7</f>
        <v>171</v>
      </c>
      <c r="F7" s="45" t="str">
        <f t="shared" si="0"/>
        <v>好調</v>
      </c>
      <c r="H7" s="3">
        <v>101</v>
      </c>
      <c r="I7" s="4" t="str">
        <f>VLOOKUP(H7,テーブル!$H$3:$J$7,2,0)</f>
        <v>共栄百貨店</v>
      </c>
      <c r="J7" s="5">
        <f>SUMIF(データ表!$C$2:$C$26,$H7,データ表!E$2:E$26)</f>
        <v>2036</v>
      </c>
      <c r="K7" s="5">
        <f>SUMIF(データ表!$C$2:$C$26,$H7,データ表!F$2:F$26)</f>
        <v>1804</v>
      </c>
      <c r="L7" s="34">
        <f>ROUNDDOWN(K7/VLOOKUP(H7,テーブル!$H$3:$J$7,3,0),2)</f>
        <v>0.96</v>
      </c>
      <c r="M7" s="5">
        <f>SUMIF(データ表!$C$2:$C$26,$H7,データ表!I$2:I$26)</f>
        <v>1198680</v>
      </c>
      <c r="N7" s="5">
        <f>SUMIF(データ表!$C$2:$C$26,$H7,データ表!J$2:J$26)</f>
        <v>133051</v>
      </c>
      <c r="O7" s="5">
        <f t="shared" si="1"/>
        <v>12700</v>
      </c>
      <c r="P7" s="41">
        <f>N7+O7</f>
        <v>145751</v>
      </c>
    </row>
    <row r="8" spans="1:16">
      <c r="A8"/>
      <c r="B8" s="19"/>
      <c r="C8" s="19"/>
      <c r="D8" s="19"/>
      <c r="E8" s="19"/>
      <c r="F8" s="19"/>
      <c r="H8" s="3"/>
      <c r="I8" s="4"/>
      <c r="J8" s="4"/>
      <c r="K8" s="4"/>
      <c r="L8" s="4"/>
      <c r="M8" s="4"/>
      <c r="N8" s="4"/>
      <c r="O8" s="4"/>
      <c r="P8" s="6"/>
    </row>
    <row r="9" spans="1:16" ht="14.25" thickBot="1">
      <c r="A9"/>
      <c r="B9" s="19"/>
      <c r="C9" s="37"/>
      <c r="D9" s="19"/>
      <c r="E9" s="19"/>
      <c r="F9" s="19"/>
      <c r="H9" s="29"/>
      <c r="I9" s="31" t="s">
        <v>23</v>
      </c>
      <c r="J9" s="8">
        <f>SUM(J3:J7)</f>
        <v>10432</v>
      </c>
      <c r="K9" s="8">
        <f>SUM(K3:K7)</f>
        <v>9590</v>
      </c>
      <c r="L9" s="15"/>
      <c r="M9" s="8">
        <f t="shared" ref="M9:P9" si="2">SUM(M3:M7)</f>
        <v>6250440</v>
      </c>
      <c r="N9" s="8">
        <f t="shared" si="2"/>
        <v>724228</v>
      </c>
      <c r="O9" s="8">
        <f t="shared" si="2"/>
        <v>73700</v>
      </c>
      <c r="P9" s="40">
        <f t="shared" si="2"/>
        <v>797928</v>
      </c>
    </row>
    <row r="10" spans="1:16">
      <c r="A10"/>
      <c r="B10" s="19"/>
      <c r="C10" s="19"/>
      <c r="D10" s="19"/>
      <c r="E10" s="19"/>
      <c r="F10" s="19"/>
    </row>
    <row r="11" spans="1:16">
      <c r="B11" s="14"/>
      <c r="C11" s="14"/>
      <c r="D11" s="14"/>
      <c r="E11" s="14"/>
      <c r="F11" s="14"/>
    </row>
    <row r="12" spans="1:16">
      <c r="H12" s="11"/>
    </row>
    <row r="13" spans="1:16">
      <c r="A13" s="11"/>
      <c r="B13" s="11"/>
      <c r="C13" s="11"/>
      <c r="D13" s="11"/>
      <c r="E13" s="11"/>
      <c r="F13" s="11"/>
    </row>
    <row r="14" spans="1:16">
      <c r="B14"/>
      <c r="C14"/>
    </row>
    <row r="15" spans="1:16">
      <c r="A15" s="11"/>
      <c r="B15" s="11"/>
      <c r="C15" s="11"/>
      <c r="D15" s="11"/>
      <c r="E15" s="11"/>
      <c r="F15" s="11"/>
    </row>
  </sheetData>
  <sortState xmlns:xlrd2="http://schemas.microsoft.com/office/spreadsheetml/2017/richdata2" ref="H3:P7">
    <sortCondition descending="1" ref="L3:L7"/>
  </sortState>
  <mergeCells count="2">
    <mergeCell ref="H1:P1"/>
    <mergeCell ref="A1:F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2019-01-16T21:02:38Z</cp:lastPrinted>
  <dcterms:created xsi:type="dcterms:W3CDTF">2012-06-19T05:36:06Z</dcterms:created>
  <dcterms:modified xsi:type="dcterms:W3CDTF">2023-01-12T03:06:36Z</dcterms:modified>
</cp:coreProperties>
</file>