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問題制作フォルダー\02_問題集\1表計算\2023(令和05)年度\3_SP初段\"/>
    </mc:Choice>
  </mc:AlternateContent>
  <xr:revisionPtr revIDLastSave="0" documentId="13_ncr:1_{5AC36EFA-2E33-49C7-87AD-E875F909ACC9}" xr6:coauthVersionLast="47" xr6:coauthVersionMax="47" xr10:uidLastSave="{00000000-0000-0000-0000-000000000000}"/>
  <bookViews>
    <workbookView xWindow="-120" yWindow="-120" windowWidth="29040" windowHeight="15840" xr2:uid="{86E23B2F-6F5F-4B2C-B978-EE4A60B535BE}"/>
  </bookViews>
  <sheets>
    <sheet name="テーブル" sheetId="1" r:id="rId1"/>
    <sheet name="料金データ表" sheetId="5" r:id="rId2"/>
    <sheet name="計算表" sheetId="6" r:id="rId3"/>
  </sheets>
  <definedNames>
    <definedName name="_xlnm._FilterDatabase" localSheetId="1" hidden="1">料金データ表!$A$1:$K$17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2" i="5"/>
  <c r="C2" i="5" l="1"/>
  <c r="P11" i="6"/>
  <c r="J3" i="6" l="1"/>
  <c r="B5" i="6"/>
  <c r="B3" i="6"/>
  <c r="B6" i="6"/>
  <c r="B4" i="6"/>
  <c r="H18" i="5" l="1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C18" i="5"/>
  <c r="C19" i="5"/>
  <c r="C20" i="5"/>
  <c r="C21" i="5"/>
  <c r="P4" i="6" s="1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H17" i="5" l="1"/>
  <c r="H16" i="5"/>
  <c r="H15" i="5"/>
  <c r="H14" i="5"/>
  <c r="H13" i="5"/>
  <c r="H12" i="5"/>
  <c r="H11" i="5"/>
  <c r="H10" i="5"/>
  <c r="H9" i="5"/>
  <c r="H8" i="5"/>
  <c r="H7" i="5"/>
  <c r="H6" i="5"/>
  <c r="H5" i="5"/>
  <c r="H4" i="5"/>
  <c r="J5" i="6" s="1"/>
  <c r="H3" i="5"/>
  <c r="H2" i="5"/>
  <c r="L3" i="6" l="1"/>
  <c r="L5" i="6"/>
  <c r="K5" i="6"/>
  <c r="K3" i="6"/>
  <c r="J4" i="6"/>
  <c r="H39" i="5"/>
  <c r="M3" i="6" l="1"/>
  <c r="M5" i="6"/>
  <c r="P3" i="6"/>
  <c r="L4" i="6"/>
  <c r="K4" i="6"/>
  <c r="I39" i="5"/>
  <c r="C5" i="6"/>
  <c r="C6" i="6"/>
  <c r="P2" i="6"/>
  <c r="C4" i="6"/>
  <c r="C3" i="6"/>
  <c r="M4" i="6" l="1"/>
  <c r="D4" i="6"/>
  <c r="E5" i="6"/>
  <c r="C8" i="6"/>
  <c r="K39" i="5"/>
  <c r="E6" i="6"/>
  <c r="E3" i="6"/>
  <c r="D3" i="6"/>
  <c r="J39" i="5"/>
  <c r="D6" i="6"/>
  <c r="D5" i="6"/>
  <c r="E4" i="6"/>
  <c r="F5" i="6" l="1"/>
  <c r="G5" i="6" s="1"/>
  <c r="E8" i="6"/>
  <c r="D8" i="6"/>
  <c r="F6" i="6"/>
  <c r="G6" i="6" s="1"/>
  <c r="F3" i="6"/>
  <c r="G3" i="6" s="1"/>
  <c r="F4" i="6"/>
  <c r="G4" i="6" s="1"/>
  <c r="F8" i="6" l="1"/>
  <c r="G8" i="6"/>
</calcChain>
</file>

<file path=xl/sharedStrings.xml><?xml version="1.0" encoding="utf-8"?>
<sst xmlns="http://schemas.openxmlformats.org/spreadsheetml/2006/main" count="172" uniqueCount="76">
  <si>
    <t>合　計</t>
  </si>
  <si>
    <t>割引額</t>
  </si>
  <si>
    <t>請求額</t>
  </si>
  <si>
    <t>会ＣＯ</t>
  </si>
  <si>
    <t>時間</t>
  </si>
  <si>
    <t>基本料金</t>
  </si>
  <si>
    <t>＜乗率テーブル＞</t>
  </si>
  <si>
    <t>101Y</t>
  </si>
  <si>
    <t>ランク</t>
  </si>
  <si>
    <t>乗率</t>
  </si>
  <si>
    <t>102X</t>
  </si>
  <si>
    <t>201Z</t>
  </si>
  <si>
    <t>X</t>
  </si>
  <si>
    <t>202X</t>
  </si>
  <si>
    <t>Y</t>
  </si>
  <si>
    <t>Z</t>
  </si>
  <si>
    <t>時間</t>
    <rPh sb="0" eb="2">
      <t>ジカン</t>
    </rPh>
    <phoneticPr fontId="1"/>
  </si>
  <si>
    <t>クラス</t>
    <phoneticPr fontId="1"/>
  </si>
  <si>
    <t>S</t>
    <phoneticPr fontId="1"/>
  </si>
  <si>
    <t>a</t>
    <phoneticPr fontId="1"/>
  </si>
  <si>
    <t>b</t>
    <phoneticPr fontId="1"/>
  </si>
  <si>
    <t>c</t>
    <phoneticPr fontId="1"/>
  </si>
  <si>
    <t>1～6</t>
  </si>
  <si>
    <t>7～</t>
  </si>
  <si>
    <t>割引率</t>
    <rPh sb="0" eb="3">
      <t>ワリビキリツ</t>
    </rPh>
    <phoneticPr fontId="1"/>
  </si>
  <si>
    <t>＜料金単価テーブル＞</t>
    <rPh sb="1" eb="3">
      <t>リョウキン</t>
    </rPh>
    <rPh sb="3" eb="5">
      <t>タンカ</t>
    </rPh>
    <phoneticPr fontId="1"/>
  </si>
  <si>
    <t>規模</t>
    <rPh sb="0" eb="2">
      <t>キボ</t>
    </rPh>
    <phoneticPr fontId="1"/>
  </si>
  <si>
    <t>大</t>
    <rPh sb="0" eb="1">
      <t>ダイ</t>
    </rPh>
    <phoneticPr fontId="1"/>
  </si>
  <si>
    <t>中</t>
    <rPh sb="0" eb="1">
      <t>チュウ</t>
    </rPh>
    <phoneticPr fontId="1"/>
  </si>
  <si>
    <t>小</t>
    <rPh sb="0" eb="1">
      <t>ショウ</t>
    </rPh>
    <phoneticPr fontId="1"/>
  </si>
  <si>
    <t>会議室名</t>
    <rPh sb="0" eb="3">
      <t>カイギシツ</t>
    </rPh>
    <phoneticPr fontId="1"/>
  </si>
  <si>
    <t>＜顧客テーブル＞</t>
    <rPh sb="1" eb="3">
      <t>コキャク</t>
    </rPh>
    <phoneticPr fontId="1"/>
  </si>
  <si>
    <t>顧ＣＯ</t>
    <rPh sb="0" eb="1">
      <t>コ</t>
    </rPh>
    <phoneticPr fontId="1"/>
  </si>
  <si>
    <t>顧客名</t>
    <rPh sb="0" eb="2">
      <t>コキャク</t>
    </rPh>
    <rPh sb="2" eb="3">
      <t>メイ</t>
    </rPh>
    <phoneticPr fontId="1"/>
  </si>
  <si>
    <t>区分</t>
    <rPh sb="0" eb="2">
      <t>クブン</t>
    </rPh>
    <phoneticPr fontId="1"/>
  </si>
  <si>
    <t>大*</t>
    <rPh sb="0" eb="1">
      <t>ダイ</t>
    </rPh>
    <phoneticPr fontId="1"/>
  </si>
  <si>
    <t>中*</t>
    <rPh sb="0" eb="1">
      <t>チュウ</t>
    </rPh>
    <phoneticPr fontId="1"/>
  </si>
  <si>
    <t>小*</t>
    <rPh sb="0" eb="1">
      <t>ショウ</t>
    </rPh>
    <phoneticPr fontId="1"/>
  </si>
  <si>
    <t>大会議室</t>
    <rPh sb="0" eb="1">
      <t>ダイ</t>
    </rPh>
    <rPh sb="1" eb="4">
      <t>カイギシツ</t>
    </rPh>
    <phoneticPr fontId="1"/>
  </si>
  <si>
    <t>中会議室</t>
    <rPh sb="0" eb="1">
      <t>ナカ</t>
    </rPh>
    <rPh sb="1" eb="4">
      <t>カイギシツ</t>
    </rPh>
    <phoneticPr fontId="1"/>
  </si>
  <si>
    <t>小会議室</t>
    <rPh sb="0" eb="1">
      <t>ショウ</t>
    </rPh>
    <rPh sb="1" eb="4">
      <t>カイギシツ</t>
    </rPh>
    <phoneticPr fontId="1"/>
  </si>
  <si>
    <t>経費
料率</t>
    <rPh sb="0" eb="2">
      <t>ケイヒ</t>
    </rPh>
    <phoneticPr fontId="1"/>
  </si>
  <si>
    <t>入室</t>
    <rPh sb="0" eb="2">
      <t>ニュウシツ</t>
    </rPh>
    <phoneticPr fontId="1"/>
  </si>
  <si>
    <t>退室</t>
    <rPh sb="0" eb="2">
      <t>タイシツ</t>
    </rPh>
    <phoneticPr fontId="1"/>
  </si>
  <si>
    <t>ポイント</t>
    <phoneticPr fontId="1"/>
  </si>
  <si>
    <t>L</t>
    <phoneticPr fontId="1"/>
  </si>
  <si>
    <t>M</t>
    <phoneticPr fontId="1"/>
  </si>
  <si>
    <t>L-c</t>
  </si>
  <si>
    <t>L-a</t>
  </si>
  <si>
    <t>L-a</t>
    <phoneticPr fontId="1"/>
  </si>
  <si>
    <t>L-b</t>
  </si>
  <si>
    <t>M-c</t>
  </si>
  <si>
    <t>M-c</t>
    <phoneticPr fontId="1"/>
  </si>
  <si>
    <t>M-a</t>
  </si>
  <si>
    <t>M-b</t>
  </si>
  <si>
    <t>S-b</t>
  </si>
  <si>
    <t>S-c</t>
  </si>
  <si>
    <t>S-a</t>
  </si>
  <si>
    <t>受付番号</t>
    <rPh sb="0" eb="4">
      <t>ウケツケバンゴウ</t>
    </rPh>
    <phoneticPr fontId="1"/>
  </si>
  <si>
    <t>ミドリ企画</t>
    <rPh sb="3" eb="5">
      <t>キカク</t>
    </rPh>
    <phoneticPr fontId="1"/>
  </si>
  <si>
    <t>長谷川商事</t>
    <rPh sb="0" eb="3">
      <t>ハセガワ</t>
    </rPh>
    <rPh sb="3" eb="5">
      <t>ショウジ</t>
    </rPh>
    <phoneticPr fontId="1"/>
  </si>
  <si>
    <t>ＡＢＣ総業</t>
    <phoneticPr fontId="1"/>
  </si>
  <si>
    <t>佐々木証券</t>
    <rPh sb="0" eb="3">
      <t>ササキ</t>
    </rPh>
    <rPh sb="3" eb="5">
      <t>ショウケン</t>
    </rPh>
    <phoneticPr fontId="1"/>
  </si>
  <si>
    <t>&gt;7</t>
    <phoneticPr fontId="1"/>
  </si>
  <si>
    <t>&lt;11</t>
    <phoneticPr fontId="1"/>
  </si>
  <si>
    <t>時間が7より多く11より少ない割引額の合計</t>
    <rPh sb="0" eb="2">
      <t>ジカン</t>
    </rPh>
    <rPh sb="15" eb="17">
      <t>ワリビキ</t>
    </rPh>
    <rPh sb="17" eb="18">
      <t>ガク</t>
    </rPh>
    <phoneticPr fontId="1"/>
  </si>
  <si>
    <t>&lt;2600</t>
    <phoneticPr fontId="1"/>
  </si>
  <si>
    <t>大*</t>
    <phoneticPr fontId="1"/>
  </si>
  <si>
    <t>入室が最も早い顧客名</t>
    <rPh sb="0" eb="2">
      <t>ニュウシツ</t>
    </rPh>
    <rPh sb="3" eb="4">
      <t>モット</t>
    </rPh>
    <rPh sb="5" eb="6">
      <t>ハヤ</t>
    </rPh>
    <rPh sb="7" eb="9">
      <t>コキャク</t>
    </rPh>
    <rPh sb="9" eb="10">
      <t>メイ</t>
    </rPh>
    <phoneticPr fontId="1"/>
  </si>
  <si>
    <t>経費</t>
    <rPh sb="0" eb="2">
      <t>ケイヒ</t>
    </rPh>
    <phoneticPr fontId="1"/>
  </si>
  <si>
    <t>顧客別請求額計算表</t>
    <rPh sb="0" eb="2">
      <t>コキャク</t>
    </rPh>
    <rPh sb="2" eb="3">
      <t>ベツ</t>
    </rPh>
    <phoneticPr fontId="1"/>
  </si>
  <si>
    <t>大会議室の経費が2,600円未満の件数</t>
    <rPh sb="0" eb="1">
      <t>ダイ</t>
    </rPh>
    <rPh sb="1" eb="4">
      <t>カイギシツ</t>
    </rPh>
    <rPh sb="5" eb="7">
      <t>ケイヒ</t>
    </rPh>
    <rPh sb="14" eb="16">
      <t>ミマン</t>
    </rPh>
    <rPh sb="17" eb="19">
      <t>ケンスウ</t>
    </rPh>
    <phoneticPr fontId="1"/>
  </si>
  <si>
    <t>＜規模表＞</t>
    <rPh sb="1" eb="3">
      <t>キボ</t>
    </rPh>
    <phoneticPr fontId="1"/>
  </si>
  <si>
    <t>請求額</t>
    <rPh sb="0" eb="3">
      <t>セイキュウガク</t>
    </rPh>
    <phoneticPr fontId="1"/>
  </si>
  <si>
    <t>会議室別計算表</t>
    <rPh sb="0" eb="3">
      <t>カイギシツ</t>
    </rPh>
    <rPh sb="3" eb="4">
      <t>ベツ</t>
    </rPh>
    <rPh sb="4" eb="6">
      <t>ケイサン</t>
    </rPh>
    <phoneticPr fontId="1"/>
  </si>
  <si>
    <t>会議室名</t>
    <rPh sb="0" eb="3">
      <t>カイギシツ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</si>
</sst>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h:mm;@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2" xfId="0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9" xfId="0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" fontId="0" fillId="0" borderId="1" xfId="1" applyNumberFormat="1" applyFont="1" applyBorder="1">
      <alignment vertical="center"/>
    </xf>
    <xf numFmtId="3" fontId="0" fillId="0" borderId="6" xfId="1" applyNumberFormat="1" applyFont="1" applyBorder="1">
      <alignment vertical="center"/>
    </xf>
    <xf numFmtId="3" fontId="0" fillId="0" borderId="9" xfId="1" applyNumberFormat="1" applyFont="1" applyBorder="1">
      <alignment vertical="center"/>
    </xf>
    <xf numFmtId="3" fontId="0" fillId="0" borderId="4" xfId="0" applyNumberFormat="1" applyBorder="1">
      <alignment vertical="center"/>
    </xf>
    <xf numFmtId="3" fontId="0" fillId="0" borderId="8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0" borderId="12" xfId="0" applyBorder="1">
      <alignment vertical="center"/>
    </xf>
    <xf numFmtId="177" fontId="0" fillId="0" borderId="11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0" fontId="0" fillId="0" borderId="0" xfId="0" applyNumberForma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 b="0" i="0" u="none" strike="noStrike" baseline="0">
                <a:effectLst/>
              </a:rPr>
              <a:t>顧客</a:t>
            </a:r>
            <a:r>
              <a:rPr lang="ja-JP" altLang="ja-JP" sz="1100" b="0" i="0" u="none" strike="noStrike" baseline="0">
                <a:effectLst/>
              </a:rPr>
              <a:t>別の集計グラフ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ysClr val="windowText" lastClr="000000">
                  <a:alpha val="94000"/>
                </a:sysClr>
              </a:solidFill>
            </a:ln>
            <a:effectLst/>
          </c:spPr>
          <c:invertIfNegative val="0"/>
          <c:cat>
            <c:strRef>
              <c:f>計算表!$B$3:$B$6</c:f>
              <c:strCache>
                <c:ptCount val="4"/>
                <c:pt idx="0">
                  <c:v>ＡＢＣ総業</c:v>
                </c:pt>
                <c:pt idx="1">
                  <c:v>長谷川商事</c:v>
                </c:pt>
                <c:pt idx="2">
                  <c:v>ミドリ企画</c:v>
                </c:pt>
                <c:pt idx="3">
                  <c:v>佐々木証券</c:v>
                </c:pt>
              </c:strCache>
            </c:strRef>
          </c:cat>
          <c:val>
            <c:numRef>
              <c:f>計算表!$F$3:$F$6</c:f>
              <c:numCache>
                <c:formatCode>#,##0_);[Red]\(#,##0\)</c:formatCode>
                <c:ptCount val="4"/>
                <c:pt idx="0">
                  <c:v>596460</c:v>
                </c:pt>
                <c:pt idx="1">
                  <c:v>515500</c:v>
                </c:pt>
                <c:pt idx="2">
                  <c:v>504980</c:v>
                </c:pt>
                <c:pt idx="3">
                  <c:v>447430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385352"/>
        <c:axId val="464387976"/>
      </c:barChart>
      <c:lineChart>
        <c:grouping val="standard"/>
        <c:varyColors val="0"/>
        <c:ser>
          <c:idx val="1"/>
          <c:order val="1"/>
          <c:tx>
            <c:strRef>
              <c:f>計算表!$G$2</c:f>
              <c:strCache>
                <c:ptCount val="1"/>
                <c:pt idx="0">
                  <c:v>ポイント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計算表!$B$3:$B$6</c:f>
              <c:strCache>
                <c:ptCount val="4"/>
                <c:pt idx="0">
                  <c:v>ＡＢＣ総業</c:v>
                </c:pt>
                <c:pt idx="1">
                  <c:v>長谷川商事</c:v>
                </c:pt>
                <c:pt idx="2">
                  <c:v>ミドリ企画</c:v>
                </c:pt>
                <c:pt idx="3">
                  <c:v>佐々木証券</c:v>
                </c:pt>
              </c:strCache>
            </c:strRef>
          </c:cat>
          <c:val>
            <c:numRef>
              <c:f>計算表!$G$3:$G$6</c:f>
              <c:numCache>
                <c:formatCode>#,##0_);[Red]\(#,##0\)</c:formatCode>
                <c:ptCount val="4"/>
                <c:pt idx="0">
                  <c:v>11333</c:v>
                </c:pt>
                <c:pt idx="1">
                  <c:v>7733</c:v>
                </c:pt>
                <c:pt idx="2">
                  <c:v>9595</c:v>
                </c:pt>
                <c:pt idx="3">
                  <c:v>7607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36144"/>
        <c:axId val="478748680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47874868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76336144"/>
        <c:crosses val="max"/>
        <c:crossBetween val="between"/>
      </c:valAx>
      <c:catAx>
        <c:axId val="47633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8748680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504826</xdr:colOff>
      <xdr:row>19</xdr:row>
      <xdr:rowOff>104214</xdr:rowOff>
    </xdr:from>
    <xdr:to>
      <xdr:col>10</xdr:col>
      <xdr:colOff>514351</xdr:colOff>
      <xdr:row>33</xdr:row>
      <xdr:rowOff>52667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03451D-B644-4FA7-90E8-4E0BAA58E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P7"/>
  <sheetViews>
    <sheetView tabSelected="1" zoomScaleNormal="100" workbookViewId="0"/>
  </sheetViews>
  <sheetFormatPr defaultRowHeight="13.5"/>
  <cols>
    <col min="1" max="1" width="7.5" bestFit="1" customWidth="1"/>
    <col min="2" max="2" width="11.625" bestFit="1" customWidth="1"/>
    <col min="3" max="3" width="5.625" customWidth="1"/>
    <col min="4" max="7" width="5.5" bestFit="1" customWidth="1"/>
    <col min="8" max="8" width="4.5" bestFit="1" customWidth="1"/>
    <col min="9" max="9" width="5.625" customWidth="1"/>
    <col min="10" max="10" width="7.5" bestFit="1" customWidth="1"/>
    <col min="11" max="13" width="6.5" bestFit="1" customWidth="1"/>
    <col min="14" max="14" width="5.625" customWidth="1"/>
    <col min="15" max="15" width="7.5" bestFit="1" customWidth="1"/>
    <col min="16" max="16" width="5.5" bestFit="1" customWidth="1"/>
  </cols>
  <sheetData>
    <row r="1" spans="1:16">
      <c r="A1" t="s">
        <v>31</v>
      </c>
      <c r="D1" t="s">
        <v>72</v>
      </c>
      <c r="J1" t="s">
        <v>25</v>
      </c>
      <c r="O1" t="s">
        <v>6</v>
      </c>
    </row>
    <row r="2" spans="1:16" ht="13.5" customHeight="1">
      <c r="A2" s="1" t="s">
        <v>32</v>
      </c>
      <c r="B2" s="1" t="s">
        <v>33</v>
      </c>
      <c r="D2" s="44" t="s">
        <v>34</v>
      </c>
      <c r="E2" s="47" t="s">
        <v>26</v>
      </c>
      <c r="F2" s="48" t="s">
        <v>41</v>
      </c>
      <c r="G2" s="47" t="s">
        <v>24</v>
      </c>
      <c r="H2" s="47"/>
      <c r="J2" s="47" t="s">
        <v>17</v>
      </c>
      <c r="K2" s="47" t="s">
        <v>34</v>
      </c>
      <c r="L2" s="47"/>
      <c r="M2" s="47"/>
      <c r="O2" s="1" t="s">
        <v>8</v>
      </c>
      <c r="P2" s="1" t="s">
        <v>9</v>
      </c>
    </row>
    <row r="3" spans="1:16" ht="13.5" customHeight="1">
      <c r="A3" s="2" t="s">
        <v>7</v>
      </c>
      <c r="B3" s="39" t="s">
        <v>62</v>
      </c>
      <c r="D3" s="45"/>
      <c r="E3" s="47"/>
      <c r="F3" s="47"/>
      <c r="G3" s="49" t="s">
        <v>4</v>
      </c>
      <c r="H3" s="49"/>
      <c r="J3" s="47"/>
      <c r="K3" s="1" t="s">
        <v>18</v>
      </c>
      <c r="L3" s="1" t="s">
        <v>46</v>
      </c>
      <c r="M3" s="1" t="s">
        <v>45</v>
      </c>
      <c r="O3" s="2" t="s">
        <v>12</v>
      </c>
      <c r="P3" s="18">
        <v>1.9E-2</v>
      </c>
    </row>
    <row r="4" spans="1:16">
      <c r="A4" s="2" t="s">
        <v>10</v>
      </c>
      <c r="B4" s="39" t="s">
        <v>61</v>
      </c>
      <c r="D4" s="46"/>
      <c r="E4" s="47"/>
      <c r="F4" s="47"/>
      <c r="G4" s="36" t="s">
        <v>22</v>
      </c>
      <c r="H4" s="36" t="s">
        <v>23</v>
      </c>
      <c r="J4" s="2" t="s">
        <v>19</v>
      </c>
      <c r="K4" s="22">
        <v>5820</v>
      </c>
      <c r="L4" s="22">
        <v>7560</v>
      </c>
      <c r="M4" s="22">
        <v>9820</v>
      </c>
      <c r="O4" s="2" t="s">
        <v>14</v>
      </c>
      <c r="P4" s="18">
        <v>1.7000000000000001E-2</v>
      </c>
    </row>
    <row r="5" spans="1:16">
      <c r="A5" s="2" t="s">
        <v>11</v>
      </c>
      <c r="B5" s="39" t="s">
        <v>60</v>
      </c>
      <c r="D5" s="2" t="s">
        <v>18</v>
      </c>
      <c r="E5" s="2" t="s">
        <v>29</v>
      </c>
      <c r="F5" s="4">
        <v>2.4E-2</v>
      </c>
      <c r="G5" s="23">
        <v>0.03</v>
      </c>
      <c r="H5" s="23">
        <v>0.04</v>
      </c>
      <c r="J5" s="2" t="s">
        <v>20</v>
      </c>
      <c r="K5" s="22">
        <v>5630</v>
      </c>
      <c r="L5" s="22">
        <v>7320</v>
      </c>
      <c r="M5" s="22">
        <v>9510</v>
      </c>
      <c r="O5" s="2" t="s">
        <v>15</v>
      </c>
      <c r="P5" s="18">
        <v>1.4999999999999999E-2</v>
      </c>
    </row>
    <row r="6" spans="1:16">
      <c r="A6" s="2" t="s">
        <v>13</v>
      </c>
      <c r="B6" s="39" t="s">
        <v>59</v>
      </c>
      <c r="D6" s="2" t="s">
        <v>46</v>
      </c>
      <c r="E6" s="2" t="s">
        <v>28</v>
      </c>
      <c r="F6" s="4">
        <v>2.5999999999999999E-2</v>
      </c>
      <c r="G6" s="23">
        <v>0.05</v>
      </c>
      <c r="H6" s="23">
        <v>0.06</v>
      </c>
      <c r="J6" s="2" t="s">
        <v>21</v>
      </c>
      <c r="K6" s="22">
        <v>5460</v>
      </c>
      <c r="L6" s="22">
        <v>7130</v>
      </c>
      <c r="M6" s="22">
        <v>9270</v>
      </c>
    </row>
    <row r="7" spans="1:16">
      <c r="D7" s="2" t="s">
        <v>45</v>
      </c>
      <c r="E7" s="2" t="s">
        <v>27</v>
      </c>
      <c r="F7" s="4">
        <v>2.8000000000000001E-2</v>
      </c>
      <c r="G7" s="23">
        <v>7.0000000000000007E-2</v>
      </c>
      <c r="H7" s="23">
        <v>0.08</v>
      </c>
    </row>
  </sheetData>
  <mergeCells count="7">
    <mergeCell ref="D2:D4"/>
    <mergeCell ref="E2:E4"/>
    <mergeCell ref="F2:F4"/>
    <mergeCell ref="G2:H2"/>
    <mergeCell ref="K2:M2"/>
    <mergeCell ref="G3:H3"/>
    <mergeCell ref="J2:J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7A4A-950E-4062-8AD7-6A50F3CC59CF}">
  <dimension ref="A1:L41"/>
  <sheetViews>
    <sheetView zoomScaleNormal="100" workbookViewId="0"/>
  </sheetViews>
  <sheetFormatPr defaultRowHeight="13.5"/>
  <cols>
    <col min="1" max="1" width="9.5" bestFit="1" customWidth="1"/>
    <col min="2" max="2" width="7.5" bestFit="1" customWidth="1"/>
    <col min="3" max="3" width="11.625" bestFit="1" customWidth="1"/>
    <col min="4" max="4" width="7.5" bestFit="1" customWidth="1"/>
    <col min="5" max="5" width="9.5" bestFit="1" customWidth="1"/>
    <col min="6" max="7" width="6.5" bestFit="1" customWidth="1"/>
    <col min="8" max="8" width="5.5" bestFit="1" customWidth="1"/>
    <col min="9" max="9" width="10.5" bestFit="1" customWidth="1"/>
    <col min="10" max="10" width="7.5" bestFit="1" customWidth="1"/>
    <col min="11" max="11" width="8.5" bestFit="1" customWidth="1"/>
  </cols>
  <sheetData>
    <row r="1" spans="1:12">
      <c r="A1" s="5" t="s">
        <v>58</v>
      </c>
      <c r="B1" s="6" t="s">
        <v>32</v>
      </c>
      <c r="C1" s="6" t="s">
        <v>33</v>
      </c>
      <c r="D1" s="6" t="s">
        <v>3</v>
      </c>
      <c r="E1" s="6" t="s">
        <v>30</v>
      </c>
      <c r="F1" s="6" t="s">
        <v>42</v>
      </c>
      <c r="G1" s="6" t="s">
        <v>43</v>
      </c>
      <c r="H1" s="6" t="s">
        <v>4</v>
      </c>
      <c r="I1" s="6" t="s">
        <v>5</v>
      </c>
      <c r="J1" s="6" t="s">
        <v>69</v>
      </c>
      <c r="K1" s="7" t="s">
        <v>1</v>
      </c>
    </row>
    <row r="2" spans="1:12">
      <c r="A2" s="38">
        <v>1</v>
      </c>
      <c r="B2" s="39" t="s">
        <v>7</v>
      </c>
      <c r="C2" s="2" t="str">
        <f>VLOOKUP(B2,テーブル!$A$3:$B$6,2,0)</f>
        <v>佐々木証券</v>
      </c>
      <c r="D2" s="39" t="s">
        <v>47</v>
      </c>
      <c r="E2" s="42" t="str">
        <f>VLOOKUP(LEFT(D2,1),テーブル!$D$5:$H$7,2,0)&amp;"会議室"</f>
        <v>大会議室</v>
      </c>
      <c r="F2" s="29">
        <v>0.3888888888888889</v>
      </c>
      <c r="G2" s="29">
        <v>0.75694444444444453</v>
      </c>
      <c r="H2" s="2">
        <f t="shared" ref="H2:H37" si="0">ROUNDUP((G2-F2)*24,0)</f>
        <v>9</v>
      </c>
      <c r="I2" s="30">
        <f>INDEX(テーブル!$K$4:$M$6,MATCH(RIGHT(D2,1),テーブル!$J$4:$J$6,0),MATCH(LEFT(D2,1),テーブル!$K$3:$M$3,0))*H2</f>
        <v>83430</v>
      </c>
      <c r="J2" s="30">
        <f>ROUND(I2*VLOOKUP(LEFT(D2,1),テーブル!$D$5:$H$7,3,0),-1)</f>
        <v>2340</v>
      </c>
      <c r="K2" s="37">
        <f>ROUNDDOWN(I2*VLOOKUP(LEFT(D2,1),テーブル!$D$5:$H$7,IF(H2&lt;=6,4,5),0),-1)</f>
        <v>6670</v>
      </c>
      <c r="L2" s="43"/>
    </row>
    <row r="3" spans="1:12">
      <c r="A3" s="38">
        <v>2</v>
      </c>
      <c r="B3" s="39" t="s">
        <v>10</v>
      </c>
      <c r="C3" s="2" t="str">
        <f>VLOOKUP(B3,テーブル!$A$3:$B$6,2,0)</f>
        <v>ＡＢＣ総業</v>
      </c>
      <c r="D3" s="39" t="s">
        <v>52</v>
      </c>
      <c r="E3" s="42" t="str">
        <f>VLOOKUP(LEFT(D3,1),テーブル!$D$5:$H$7,2,0)&amp;"会議室"</f>
        <v>中会議室</v>
      </c>
      <c r="F3" s="29">
        <v>0.3923611111111111</v>
      </c>
      <c r="G3" s="29">
        <v>0.68055555555555547</v>
      </c>
      <c r="H3" s="2">
        <f t="shared" si="0"/>
        <v>7</v>
      </c>
      <c r="I3" s="30">
        <f>INDEX(テーブル!$K$4:$M$6,MATCH(RIGHT(D3,1),テーブル!$J$4:$J$6,0),MATCH(LEFT(D3,1),テーブル!$K$3:$M$3,0))*H3</f>
        <v>49910</v>
      </c>
      <c r="J3" s="30">
        <f>ROUND(I3*VLOOKUP(LEFT(D3,1),テーブル!$D$5:$H$7,3,0),-1)</f>
        <v>1300</v>
      </c>
      <c r="K3" s="37">
        <f>ROUNDDOWN(I3*VLOOKUP(LEFT(D3,1),テーブル!$D$5:$H$7,IF(H3&lt;=6,4,5),0),-1)</f>
        <v>2990</v>
      </c>
      <c r="L3" s="43"/>
    </row>
    <row r="4" spans="1:12">
      <c r="A4" s="38">
        <v>3</v>
      </c>
      <c r="B4" s="39" t="s">
        <v>11</v>
      </c>
      <c r="C4" s="2" t="str">
        <f>VLOOKUP(B4,テーブル!$A$3:$B$6,2,0)</f>
        <v>長谷川商事</v>
      </c>
      <c r="D4" s="39" t="s">
        <v>55</v>
      </c>
      <c r="E4" s="42" t="str">
        <f>VLOOKUP(LEFT(D4,1),テーブル!$D$5:$H$7,2,0)&amp;"会議室"</f>
        <v>小会議室</v>
      </c>
      <c r="F4" s="29">
        <v>0.35416666666666669</v>
      </c>
      <c r="G4" s="29">
        <v>0.72222222222222199</v>
      </c>
      <c r="H4" s="2">
        <f t="shared" si="0"/>
        <v>9</v>
      </c>
      <c r="I4" s="30">
        <f>INDEX(テーブル!$K$4:$M$6,MATCH(RIGHT(D4,1),テーブル!$J$4:$J$6,0),MATCH(LEFT(D4,1),テーブル!$K$3:$M$3,0))*H4</f>
        <v>50670</v>
      </c>
      <c r="J4" s="30">
        <f>ROUND(I4*VLOOKUP(LEFT(D4,1),テーブル!$D$5:$H$7,3,0),-1)</f>
        <v>1220</v>
      </c>
      <c r="K4" s="37">
        <f>ROUNDDOWN(I4*VLOOKUP(LEFT(D4,1),テーブル!$D$5:$H$7,IF(H4&lt;=6,4,5),0),-1)</f>
        <v>2020</v>
      </c>
    </row>
    <row r="5" spans="1:12">
      <c r="A5" s="38">
        <v>4</v>
      </c>
      <c r="B5" s="39" t="s">
        <v>13</v>
      </c>
      <c r="C5" s="2" t="str">
        <f>VLOOKUP(B5,テーブル!$A$3:$B$6,2,0)</f>
        <v>ミドリ企画</v>
      </c>
      <c r="D5" s="39" t="s">
        <v>54</v>
      </c>
      <c r="E5" s="42" t="str">
        <f>VLOOKUP(LEFT(D5,1),テーブル!$D$5:$H$7,2,0)&amp;"会議室"</f>
        <v>中会議室</v>
      </c>
      <c r="F5" s="29">
        <v>0.45833333333333331</v>
      </c>
      <c r="G5" s="29">
        <v>0.82638888888888884</v>
      </c>
      <c r="H5" s="2">
        <f t="shared" si="0"/>
        <v>9</v>
      </c>
      <c r="I5" s="30">
        <f>INDEX(テーブル!$K$4:$M$6,MATCH(RIGHT(D5,1),テーブル!$J$4:$J$6,0),MATCH(LEFT(D5,1),テーブル!$K$3:$M$3,0))*H5</f>
        <v>65880</v>
      </c>
      <c r="J5" s="30">
        <f>ROUND(I5*VLOOKUP(LEFT(D5,1),テーブル!$D$5:$H$7,3,0),-1)</f>
        <v>1710</v>
      </c>
      <c r="K5" s="37">
        <f>ROUNDDOWN(I5*VLOOKUP(LEFT(D5,1),テーブル!$D$5:$H$7,IF(H5&lt;=6,4,5),0),-1)</f>
        <v>3950</v>
      </c>
    </row>
    <row r="6" spans="1:12">
      <c r="A6" s="38">
        <v>5</v>
      </c>
      <c r="B6" s="39" t="s">
        <v>7</v>
      </c>
      <c r="C6" s="2" t="str">
        <f>VLOOKUP(B6,テーブル!$A$3:$B$6,2,0)</f>
        <v>佐々木証券</v>
      </c>
      <c r="D6" s="39" t="s">
        <v>48</v>
      </c>
      <c r="E6" s="42" t="str">
        <f>VLOOKUP(LEFT(D6,1),テーブル!$D$5:$H$7,2,0)&amp;"会議室"</f>
        <v>大会議室</v>
      </c>
      <c r="F6" s="29">
        <v>0.35069444444444442</v>
      </c>
      <c r="G6" s="29">
        <v>0.59722222222222221</v>
      </c>
      <c r="H6" s="2">
        <f t="shared" si="0"/>
        <v>6</v>
      </c>
      <c r="I6" s="30">
        <f>INDEX(テーブル!$K$4:$M$6,MATCH(RIGHT(D6,1),テーブル!$J$4:$J$6,0),MATCH(LEFT(D6,1),テーブル!$K$3:$M$3,0))*H6</f>
        <v>58920</v>
      </c>
      <c r="J6" s="30">
        <f>ROUND(I6*VLOOKUP(LEFT(D6,1),テーブル!$D$5:$H$7,3,0),-1)</f>
        <v>1650</v>
      </c>
      <c r="K6" s="37">
        <f>ROUNDDOWN(I6*VLOOKUP(LEFT(D6,1),テーブル!$D$5:$H$7,IF(H6&lt;=6,4,5),0),-1)</f>
        <v>4120</v>
      </c>
    </row>
    <row r="7" spans="1:12">
      <c r="A7" s="38">
        <v>6</v>
      </c>
      <c r="B7" s="39" t="s">
        <v>10</v>
      </c>
      <c r="C7" s="2" t="str">
        <f>VLOOKUP(B7,テーブル!$A$3:$B$6,2,0)</f>
        <v>ＡＢＣ総業</v>
      </c>
      <c r="D7" s="39" t="s">
        <v>47</v>
      </c>
      <c r="E7" s="42" t="str">
        <f>VLOOKUP(LEFT(D7,1),テーブル!$D$5:$H$7,2,0)&amp;"会議室"</f>
        <v>大会議室</v>
      </c>
      <c r="F7" s="29">
        <v>0.44444444444444442</v>
      </c>
      <c r="G7" s="29">
        <v>0.85763888888888895</v>
      </c>
      <c r="H7" s="2">
        <f t="shared" si="0"/>
        <v>10</v>
      </c>
      <c r="I7" s="30">
        <f>INDEX(テーブル!$K$4:$M$6,MATCH(RIGHT(D7,1),テーブル!$J$4:$J$6,0),MATCH(LEFT(D7,1),テーブル!$K$3:$M$3,0))*H7</f>
        <v>92700</v>
      </c>
      <c r="J7" s="30">
        <f>ROUND(I7*VLOOKUP(LEFT(D7,1),テーブル!$D$5:$H$7,3,0),-1)</f>
        <v>2600</v>
      </c>
      <c r="K7" s="37">
        <f>ROUNDDOWN(I7*VLOOKUP(LEFT(D7,1),テーブル!$D$5:$H$7,IF(H7&lt;=6,4,5),0),-1)</f>
        <v>7410</v>
      </c>
    </row>
    <row r="8" spans="1:12">
      <c r="A8" s="38">
        <v>7</v>
      </c>
      <c r="B8" s="39" t="s">
        <v>11</v>
      </c>
      <c r="C8" s="2" t="str">
        <f>VLOOKUP(B8,テーブル!$A$3:$B$6,2,0)</f>
        <v>長谷川商事</v>
      </c>
      <c r="D8" s="39" t="s">
        <v>56</v>
      </c>
      <c r="E8" s="42" t="str">
        <f>VLOOKUP(LEFT(D8,1),テーブル!$D$5:$H$7,2,0)&amp;"会議室"</f>
        <v>小会議室</v>
      </c>
      <c r="F8" s="29">
        <v>0.39583333333333298</v>
      </c>
      <c r="G8" s="29">
        <v>0.8125</v>
      </c>
      <c r="H8" s="2">
        <f t="shared" si="0"/>
        <v>10</v>
      </c>
      <c r="I8" s="30">
        <f>INDEX(テーブル!$K$4:$M$6,MATCH(RIGHT(D8,1),テーブル!$J$4:$J$6,0),MATCH(LEFT(D8,1),テーブル!$K$3:$M$3,0))*H8</f>
        <v>54600</v>
      </c>
      <c r="J8" s="30">
        <f>ROUND(I8*VLOOKUP(LEFT(D8,1),テーブル!$D$5:$H$7,3,0),-1)</f>
        <v>1310</v>
      </c>
      <c r="K8" s="37">
        <f>ROUNDDOWN(I8*VLOOKUP(LEFT(D8,1),テーブル!$D$5:$H$7,IF(H8&lt;=6,4,5),0),-1)</f>
        <v>2180</v>
      </c>
    </row>
    <row r="9" spans="1:12">
      <c r="A9" s="38">
        <v>8</v>
      </c>
      <c r="B9" s="39" t="s">
        <v>13</v>
      </c>
      <c r="C9" s="2" t="str">
        <f>VLOOKUP(B9,テーブル!$A$3:$B$6,2,0)</f>
        <v>ミドリ企画</v>
      </c>
      <c r="D9" s="39" t="s">
        <v>51</v>
      </c>
      <c r="E9" s="42" t="str">
        <f>VLOOKUP(LEFT(D9,1),テーブル!$D$5:$H$7,2,0)&amp;"会議室"</f>
        <v>中会議室</v>
      </c>
      <c r="F9" s="29">
        <v>0.375</v>
      </c>
      <c r="G9" s="29">
        <v>0.86805555555555547</v>
      </c>
      <c r="H9" s="2">
        <f t="shared" si="0"/>
        <v>12</v>
      </c>
      <c r="I9" s="30">
        <f>INDEX(テーブル!$K$4:$M$6,MATCH(RIGHT(D9,1),テーブル!$J$4:$J$6,0),MATCH(LEFT(D9,1),テーブル!$K$3:$M$3,0))*H9</f>
        <v>85560</v>
      </c>
      <c r="J9" s="30">
        <f>ROUND(I9*VLOOKUP(LEFT(D9,1),テーブル!$D$5:$H$7,3,0),-1)</f>
        <v>2220</v>
      </c>
      <c r="K9" s="37">
        <f>ROUNDDOWN(I9*VLOOKUP(LEFT(D9,1),テーブル!$D$5:$H$7,IF(H9&lt;=6,4,5),0),-1)</f>
        <v>5130</v>
      </c>
    </row>
    <row r="10" spans="1:12">
      <c r="A10" s="38">
        <v>9</v>
      </c>
      <c r="B10" s="39" t="s">
        <v>7</v>
      </c>
      <c r="C10" s="2" t="str">
        <f>VLOOKUP(B10,テーブル!$A$3:$B$6,2,0)</f>
        <v>佐々木証券</v>
      </c>
      <c r="D10" s="39" t="s">
        <v>48</v>
      </c>
      <c r="E10" s="42" t="str">
        <f>VLOOKUP(LEFT(D10,1),テーブル!$D$5:$H$7,2,0)&amp;"会議室"</f>
        <v>大会議室</v>
      </c>
      <c r="F10" s="29">
        <v>0.43055555555555602</v>
      </c>
      <c r="G10" s="29">
        <v>0.67708333333333304</v>
      </c>
      <c r="H10" s="2">
        <f t="shared" si="0"/>
        <v>6</v>
      </c>
      <c r="I10" s="30">
        <f>INDEX(テーブル!$K$4:$M$6,MATCH(RIGHT(D10,1),テーブル!$J$4:$J$6,0),MATCH(LEFT(D10,1),テーブル!$K$3:$M$3,0))*H10</f>
        <v>58920</v>
      </c>
      <c r="J10" s="30">
        <f>ROUND(I10*VLOOKUP(LEFT(D10,1),テーブル!$D$5:$H$7,3,0),-1)</f>
        <v>1650</v>
      </c>
      <c r="K10" s="37">
        <f>ROUNDDOWN(I10*VLOOKUP(LEFT(D10,1),テーブル!$D$5:$H$7,IF(H10&lt;=6,4,5),0),-1)</f>
        <v>4120</v>
      </c>
    </row>
    <row r="11" spans="1:12">
      <c r="A11" s="38">
        <v>10</v>
      </c>
      <c r="B11" s="39" t="s">
        <v>10</v>
      </c>
      <c r="C11" s="2" t="str">
        <f>VLOOKUP(B11,テーブル!$A$3:$B$6,2,0)</f>
        <v>ＡＢＣ総業</v>
      </c>
      <c r="D11" s="39" t="s">
        <v>47</v>
      </c>
      <c r="E11" s="42" t="str">
        <f>VLOOKUP(LEFT(D11,1),テーブル!$D$5:$H$7,2,0)&amp;"会議室"</f>
        <v>大会議室</v>
      </c>
      <c r="F11" s="29">
        <v>0.39930555555555602</v>
      </c>
      <c r="G11" s="29">
        <v>0.84722222222222221</v>
      </c>
      <c r="H11" s="2">
        <f t="shared" si="0"/>
        <v>11</v>
      </c>
      <c r="I11" s="30">
        <f>INDEX(テーブル!$K$4:$M$6,MATCH(RIGHT(D11,1),テーブル!$J$4:$J$6,0),MATCH(LEFT(D11,1),テーブル!$K$3:$M$3,0))*H11</f>
        <v>101970</v>
      </c>
      <c r="J11" s="30">
        <f>ROUND(I11*VLOOKUP(LEFT(D11,1),テーブル!$D$5:$H$7,3,0),-1)</f>
        <v>2860</v>
      </c>
      <c r="K11" s="37">
        <f>ROUNDDOWN(I11*VLOOKUP(LEFT(D11,1),テーブル!$D$5:$H$7,IF(H11&lt;=6,4,5),0),-1)</f>
        <v>8150</v>
      </c>
    </row>
    <row r="12" spans="1:12">
      <c r="A12" s="38">
        <v>11</v>
      </c>
      <c r="B12" s="39" t="s">
        <v>11</v>
      </c>
      <c r="C12" s="2" t="str">
        <f>VLOOKUP(B12,テーブル!$A$3:$B$6,2,0)</f>
        <v>長谷川商事</v>
      </c>
      <c r="D12" s="39" t="s">
        <v>54</v>
      </c>
      <c r="E12" s="42" t="str">
        <f>VLOOKUP(LEFT(D12,1),テーブル!$D$5:$H$7,2,0)&amp;"会議室"</f>
        <v>中会議室</v>
      </c>
      <c r="F12" s="29">
        <v>0.42361111111111099</v>
      </c>
      <c r="G12" s="29">
        <v>0.83680555555555547</v>
      </c>
      <c r="H12" s="2">
        <f t="shared" si="0"/>
        <v>10</v>
      </c>
      <c r="I12" s="30">
        <f>INDEX(テーブル!$K$4:$M$6,MATCH(RIGHT(D12,1),テーブル!$J$4:$J$6,0),MATCH(LEFT(D12,1),テーブル!$K$3:$M$3,0))*H12</f>
        <v>73200</v>
      </c>
      <c r="J12" s="30">
        <f>ROUND(I12*VLOOKUP(LEFT(D12,1),テーブル!$D$5:$H$7,3,0),-1)</f>
        <v>1900</v>
      </c>
      <c r="K12" s="37">
        <f>ROUNDDOWN(I12*VLOOKUP(LEFT(D12,1),テーブル!$D$5:$H$7,IF(H12&lt;=6,4,5),0),-1)</f>
        <v>4390</v>
      </c>
    </row>
    <row r="13" spans="1:12">
      <c r="A13" s="38">
        <v>12</v>
      </c>
      <c r="B13" s="39" t="s">
        <v>13</v>
      </c>
      <c r="C13" s="2" t="str">
        <f>VLOOKUP(B13,テーブル!$A$3:$B$6,2,0)</f>
        <v>ミドリ企画</v>
      </c>
      <c r="D13" s="39" t="s">
        <v>56</v>
      </c>
      <c r="E13" s="42" t="str">
        <f>VLOOKUP(LEFT(D13,1),テーブル!$D$5:$H$7,2,0)&amp;"会議室"</f>
        <v>小会議室</v>
      </c>
      <c r="F13" s="29">
        <v>0.38888888888888901</v>
      </c>
      <c r="G13" s="29">
        <v>0.62847222222222199</v>
      </c>
      <c r="H13" s="2">
        <f t="shared" si="0"/>
        <v>6</v>
      </c>
      <c r="I13" s="30">
        <f>INDEX(テーブル!$K$4:$M$6,MATCH(RIGHT(D13,1),テーブル!$J$4:$J$6,0),MATCH(LEFT(D13,1),テーブル!$K$3:$M$3,0))*H13</f>
        <v>32760</v>
      </c>
      <c r="J13" s="30">
        <f>ROUND(I13*VLOOKUP(LEFT(D13,1),テーブル!$D$5:$H$7,3,0),-1)</f>
        <v>790</v>
      </c>
      <c r="K13" s="37">
        <f>ROUNDDOWN(I13*VLOOKUP(LEFT(D13,1),テーブル!$D$5:$H$7,IF(H13&lt;=6,4,5),0),-1)</f>
        <v>980</v>
      </c>
    </row>
    <row r="14" spans="1:12">
      <c r="A14" s="38">
        <v>13</v>
      </c>
      <c r="B14" s="39" t="s">
        <v>7</v>
      </c>
      <c r="C14" s="2" t="str">
        <f>VLOOKUP(B14,テーブル!$A$3:$B$6,2,0)</f>
        <v>佐々木証券</v>
      </c>
      <c r="D14" s="39" t="s">
        <v>51</v>
      </c>
      <c r="E14" s="42" t="str">
        <f>VLOOKUP(LEFT(D14,1),テーブル!$D$5:$H$7,2,0)&amp;"会議室"</f>
        <v>中会議室</v>
      </c>
      <c r="F14" s="29">
        <v>0.42708333333333298</v>
      </c>
      <c r="G14" s="29">
        <v>0.87152777777777801</v>
      </c>
      <c r="H14" s="2">
        <f t="shared" si="0"/>
        <v>11</v>
      </c>
      <c r="I14" s="30">
        <f>INDEX(テーブル!$K$4:$M$6,MATCH(RIGHT(D14,1),テーブル!$J$4:$J$6,0),MATCH(LEFT(D14,1),テーブル!$K$3:$M$3,0))*H14</f>
        <v>78430</v>
      </c>
      <c r="J14" s="30">
        <f>ROUND(I14*VLOOKUP(LEFT(D14,1),テーブル!$D$5:$H$7,3,0),-1)</f>
        <v>2040</v>
      </c>
      <c r="K14" s="37">
        <f>ROUNDDOWN(I14*VLOOKUP(LEFT(D14,1),テーブル!$D$5:$H$7,IF(H14&lt;=6,4,5),0),-1)</f>
        <v>4700</v>
      </c>
    </row>
    <row r="15" spans="1:12">
      <c r="A15" s="38">
        <v>14</v>
      </c>
      <c r="B15" s="39" t="s">
        <v>10</v>
      </c>
      <c r="C15" s="2" t="str">
        <f>VLOOKUP(B15,テーブル!$A$3:$B$6,2,0)</f>
        <v>ＡＢＣ総業</v>
      </c>
      <c r="D15" s="39" t="s">
        <v>50</v>
      </c>
      <c r="E15" s="42" t="str">
        <f>VLOOKUP(LEFT(D15,1),テーブル!$D$5:$H$7,2,0)&amp;"会議室"</f>
        <v>大会議室</v>
      </c>
      <c r="F15" s="29">
        <v>0.40277777777777801</v>
      </c>
      <c r="G15" s="29">
        <v>0.77083333333333304</v>
      </c>
      <c r="H15" s="2">
        <f t="shared" si="0"/>
        <v>9</v>
      </c>
      <c r="I15" s="30">
        <f>INDEX(テーブル!$K$4:$M$6,MATCH(RIGHT(D15,1),テーブル!$J$4:$J$6,0),MATCH(LEFT(D15,1),テーブル!$K$3:$M$3,0))*H15</f>
        <v>85590</v>
      </c>
      <c r="J15" s="30">
        <f>ROUND(I15*VLOOKUP(LEFT(D15,1),テーブル!$D$5:$H$7,3,0),-1)</f>
        <v>2400</v>
      </c>
      <c r="K15" s="37">
        <f>ROUNDDOWN(I15*VLOOKUP(LEFT(D15,1),テーブル!$D$5:$H$7,IF(H15&lt;=6,4,5),0),-1)</f>
        <v>6840</v>
      </c>
    </row>
    <row r="16" spans="1:12">
      <c r="A16" s="38">
        <v>15</v>
      </c>
      <c r="B16" s="39" t="s">
        <v>11</v>
      </c>
      <c r="C16" s="2" t="str">
        <f>VLOOKUP(B16,テーブル!$A$3:$B$6,2,0)</f>
        <v>長谷川商事</v>
      </c>
      <c r="D16" s="39" t="s">
        <v>47</v>
      </c>
      <c r="E16" s="42" t="str">
        <f>VLOOKUP(LEFT(D16,1),テーブル!$D$5:$H$7,2,0)&amp;"会議室"</f>
        <v>大会議室</v>
      </c>
      <c r="F16" s="29">
        <v>0.36111111111111099</v>
      </c>
      <c r="G16" s="29">
        <v>0.76736111111111105</v>
      </c>
      <c r="H16" s="2">
        <f t="shared" si="0"/>
        <v>10</v>
      </c>
      <c r="I16" s="30">
        <f>INDEX(テーブル!$K$4:$M$6,MATCH(RIGHT(D16,1),テーブル!$J$4:$J$6,0),MATCH(LEFT(D16,1),テーブル!$K$3:$M$3,0))*H16</f>
        <v>92700</v>
      </c>
      <c r="J16" s="30">
        <f>ROUND(I16*VLOOKUP(LEFT(D16,1),テーブル!$D$5:$H$7,3,0),-1)</f>
        <v>2600</v>
      </c>
      <c r="K16" s="37">
        <f>ROUNDDOWN(I16*VLOOKUP(LEFT(D16,1),テーブル!$D$5:$H$7,IF(H16&lt;=6,4,5),0),-1)</f>
        <v>7410</v>
      </c>
    </row>
    <row r="17" spans="1:11">
      <c r="A17" s="38">
        <v>16</v>
      </c>
      <c r="B17" s="39" t="s">
        <v>13</v>
      </c>
      <c r="C17" s="2" t="str">
        <f>VLOOKUP(B17,テーブル!$A$3:$B$6,2,0)</f>
        <v>ミドリ企画</v>
      </c>
      <c r="D17" s="39" t="s">
        <v>57</v>
      </c>
      <c r="E17" s="42" t="str">
        <f>VLOOKUP(LEFT(D17,1),テーブル!$D$5:$H$7,2,0)&amp;"会議室"</f>
        <v>小会議室</v>
      </c>
      <c r="F17" s="29">
        <v>0.39236111111111099</v>
      </c>
      <c r="G17" s="29">
        <v>0.72222222222222199</v>
      </c>
      <c r="H17" s="2">
        <f t="shared" si="0"/>
        <v>8</v>
      </c>
      <c r="I17" s="30">
        <f>INDEX(テーブル!$K$4:$M$6,MATCH(RIGHT(D17,1),テーブル!$J$4:$J$6,0),MATCH(LEFT(D17,1),テーブル!$K$3:$M$3,0))*H17</f>
        <v>46560</v>
      </c>
      <c r="J17" s="30">
        <f>ROUND(I17*VLOOKUP(LEFT(D17,1),テーブル!$D$5:$H$7,3,0),-1)</f>
        <v>1120</v>
      </c>
      <c r="K17" s="37">
        <f>ROUNDDOWN(I17*VLOOKUP(LEFT(D17,1),テーブル!$D$5:$H$7,IF(H17&lt;=6,4,5),0),-1)</f>
        <v>1860</v>
      </c>
    </row>
    <row r="18" spans="1:11">
      <c r="A18" s="38">
        <v>17</v>
      </c>
      <c r="B18" s="39" t="s">
        <v>7</v>
      </c>
      <c r="C18" s="2" t="str">
        <f>VLOOKUP(B18,テーブル!$A$3:$B$6,2,0)</f>
        <v>佐々木証券</v>
      </c>
      <c r="D18" s="39" t="s">
        <v>54</v>
      </c>
      <c r="E18" s="42" t="str">
        <f>VLOOKUP(LEFT(D18,1),テーブル!$D$5:$H$7,2,0)&amp;"会議室"</f>
        <v>中会議室</v>
      </c>
      <c r="F18" s="29">
        <v>0.63194444444444442</v>
      </c>
      <c r="G18" s="29">
        <v>0.75347222222222221</v>
      </c>
      <c r="H18" s="2">
        <f t="shared" si="0"/>
        <v>3</v>
      </c>
      <c r="I18" s="30">
        <f>INDEX(テーブル!$K$4:$M$6,MATCH(RIGHT(D18,1),テーブル!$J$4:$J$6,0),MATCH(LEFT(D18,1),テーブル!$K$3:$M$3,0))*H18</f>
        <v>21960</v>
      </c>
      <c r="J18" s="30">
        <f>ROUND(I18*VLOOKUP(LEFT(D18,1),テーブル!$D$5:$H$7,3,0),-1)</f>
        <v>570</v>
      </c>
      <c r="K18" s="37">
        <f>ROUNDDOWN(I18*VLOOKUP(LEFT(D18,1),テーブル!$D$5:$H$7,IF(H18&lt;=6,4,5),0),-1)</f>
        <v>1090</v>
      </c>
    </row>
    <row r="19" spans="1:11">
      <c r="A19" s="38">
        <v>18</v>
      </c>
      <c r="B19" s="39" t="s">
        <v>10</v>
      </c>
      <c r="C19" s="2" t="str">
        <f>VLOOKUP(B19,テーブル!$A$3:$B$6,2,0)</f>
        <v>ＡＢＣ総業</v>
      </c>
      <c r="D19" s="39" t="s">
        <v>56</v>
      </c>
      <c r="E19" s="42" t="str">
        <f>VLOOKUP(LEFT(D19,1),テーブル!$D$5:$H$7,2,0)&amp;"会議室"</f>
        <v>小会議室</v>
      </c>
      <c r="F19" s="29">
        <v>0.37847222222222227</v>
      </c>
      <c r="G19" s="29">
        <v>0.64930555555555558</v>
      </c>
      <c r="H19" s="2">
        <f t="shared" si="0"/>
        <v>7</v>
      </c>
      <c r="I19" s="30">
        <f>INDEX(テーブル!$K$4:$M$6,MATCH(RIGHT(D19,1),テーブル!$J$4:$J$6,0),MATCH(LEFT(D19,1),テーブル!$K$3:$M$3,0))*H19</f>
        <v>38220</v>
      </c>
      <c r="J19" s="30">
        <f>ROUND(I19*VLOOKUP(LEFT(D19,1),テーブル!$D$5:$H$7,3,0),-1)</f>
        <v>920</v>
      </c>
      <c r="K19" s="37">
        <f>ROUNDDOWN(I19*VLOOKUP(LEFT(D19,1),テーブル!$D$5:$H$7,IF(H19&lt;=6,4,5),0),-1)</f>
        <v>1520</v>
      </c>
    </row>
    <row r="20" spans="1:11">
      <c r="A20" s="38">
        <v>19</v>
      </c>
      <c r="B20" s="39" t="s">
        <v>11</v>
      </c>
      <c r="C20" s="2" t="str">
        <f>VLOOKUP(B20,テーブル!$A$3:$B$6,2,0)</f>
        <v>長谷川商事</v>
      </c>
      <c r="D20" s="39" t="s">
        <v>53</v>
      </c>
      <c r="E20" s="42" t="str">
        <f>VLOOKUP(LEFT(D20,1),テーブル!$D$5:$H$7,2,0)&amp;"会議室"</f>
        <v>中会議室</v>
      </c>
      <c r="F20" s="29">
        <v>0.40625</v>
      </c>
      <c r="G20" s="29">
        <v>0.64930555555555558</v>
      </c>
      <c r="H20" s="2">
        <f t="shared" si="0"/>
        <v>6</v>
      </c>
      <c r="I20" s="30">
        <f>INDEX(テーブル!$K$4:$M$6,MATCH(RIGHT(D20,1),テーブル!$J$4:$J$6,0),MATCH(LEFT(D20,1),テーブル!$K$3:$M$3,0))*H20</f>
        <v>45360</v>
      </c>
      <c r="J20" s="30">
        <f>ROUND(I20*VLOOKUP(LEFT(D20,1),テーブル!$D$5:$H$7,3,0),-1)</f>
        <v>1180</v>
      </c>
      <c r="K20" s="37">
        <f>ROUNDDOWN(I20*VLOOKUP(LEFT(D20,1),テーブル!$D$5:$H$7,IF(H20&lt;=6,4,5),0),-1)</f>
        <v>2260</v>
      </c>
    </row>
    <row r="21" spans="1:11">
      <c r="A21" s="38">
        <v>20</v>
      </c>
      <c r="B21" s="39" t="s">
        <v>13</v>
      </c>
      <c r="C21" s="2" t="str">
        <f>VLOOKUP(B21,テーブル!$A$3:$B$6,2,0)</f>
        <v>ミドリ企画</v>
      </c>
      <c r="D21" s="39" t="s">
        <v>50</v>
      </c>
      <c r="E21" s="42" t="str">
        <f>VLOOKUP(LEFT(D21,1),テーブル!$D$5:$H$7,2,0)&amp;"会議室"</f>
        <v>大会議室</v>
      </c>
      <c r="F21" s="29">
        <v>0.34027777777777773</v>
      </c>
      <c r="G21" s="29">
        <v>0.54166666666666663</v>
      </c>
      <c r="H21" s="2">
        <f t="shared" si="0"/>
        <v>5</v>
      </c>
      <c r="I21" s="30">
        <f>INDEX(テーブル!$K$4:$M$6,MATCH(RIGHT(D21,1),テーブル!$J$4:$J$6,0),MATCH(LEFT(D21,1),テーブル!$K$3:$M$3,0))*H21</f>
        <v>47550</v>
      </c>
      <c r="J21" s="30">
        <f>ROUND(I21*VLOOKUP(LEFT(D21,1),テーブル!$D$5:$H$7,3,0),-1)</f>
        <v>1330</v>
      </c>
      <c r="K21" s="37">
        <f>ROUNDDOWN(I21*VLOOKUP(LEFT(D21,1),テーブル!$D$5:$H$7,IF(H21&lt;=6,4,5),0),-1)</f>
        <v>3320</v>
      </c>
    </row>
    <row r="22" spans="1:11">
      <c r="A22" s="38">
        <v>21</v>
      </c>
      <c r="B22" s="39" t="s">
        <v>7</v>
      </c>
      <c r="C22" s="2" t="str">
        <f>VLOOKUP(B22,テーブル!$A$3:$B$6,2,0)</f>
        <v>佐々木証券</v>
      </c>
      <c r="D22" s="39" t="s">
        <v>51</v>
      </c>
      <c r="E22" s="42" t="str">
        <f>VLOOKUP(LEFT(D22,1),テーブル!$D$5:$H$7,2,0)&amp;"会議室"</f>
        <v>中会議室</v>
      </c>
      <c r="F22" s="29">
        <v>0.38541666666666669</v>
      </c>
      <c r="G22" s="29">
        <v>0.66666666666666663</v>
      </c>
      <c r="H22" s="2">
        <f t="shared" si="0"/>
        <v>7</v>
      </c>
      <c r="I22" s="30">
        <f>INDEX(テーブル!$K$4:$M$6,MATCH(RIGHT(D22,1),テーブル!$J$4:$J$6,0),MATCH(LEFT(D22,1),テーブル!$K$3:$M$3,0))*H22</f>
        <v>49910</v>
      </c>
      <c r="J22" s="30">
        <f>ROUND(I22*VLOOKUP(LEFT(D22,1),テーブル!$D$5:$H$7,3,0),-1)</f>
        <v>1300</v>
      </c>
      <c r="K22" s="37">
        <f>ROUNDDOWN(I22*VLOOKUP(LEFT(D22,1),テーブル!$D$5:$H$7,IF(H22&lt;=6,4,5),0),-1)</f>
        <v>2990</v>
      </c>
    </row>
    <row r="23" spans="1:11">
      <c r="A23" s="38">
        <v>22</v>
      </c>
      <c r="B23" s="39" t="s">
        <v>10</v>
      </c>
      <c r="C23" s="2" t="str">
        <f>VLOOKUP(B23,テーブル!$A$3:$B$6,2,0)</f>
        <v>ＡＢＣ総業</v>
      </c>
      <c r="D23" s="39" t="s">
        <v>53</v>
      </c>
      <c r="E23" s="42" t="str">
        <f>VLOOKUP(LEFT(D23,1),テーブル!$D$5:$H$7,2,0)&amp;"会議室"</f>
        <v>中会議室</v>
      </c>
      <c r="F23" s="29">
        <v>0.34722222222222227</v>
      </c>
      <c r="G23" s="29">
        <v>0.84027777777777779</v>
      </c>
      <c r="H23" s="2">
        <f t="shared" si="0"/>
        <v>12</v>
      </c>
      <c r="I23" s="30">
        <f>INDEX(テーブル!$K$4:$M$6,MATCH(RIGHT(D23,1),テーブル!$J$4:$J$6,0),MATCH(LEFT(D23,1),テーブル!$K$3:$M$3,0))*H23</f>
        <v>90720</v>
      </c>
      <c r="J23" s="30">
        <f>ROUND(I23*VLOOKUP(LEFT(D23,1),テーブル!$D$5:$H$7,3,0),-1)</f>
        <v>2360</v>
      </c>
      <c r="K23" s="37">
        <f>ROUNDDOWN(I23*VLOOKUP(LEFT(D23,1),テーブル!$D$5:$H$7,IF(H23&lt;=6,4,5),0),-1)</f>
        <v>5440</v>
      </c>
    </row>
    <row r="24" spans="1:11">
      <c r="A24" s="38">
        <v>23</v>
      </c>
      <c r="B24" s="39" t="s">
        <v>11</v>
      </c>
      <c r="C24" s="2" t="str">
        <f>VLOOKUP(B24,テーブル!$A$3:$B$6,2,0)</f>
        <v>長谷川商事</v>
      </c>
      <c r="D24" s="39" t="s">
        <v>55</v>
      </c>
      <c r="E24" s="42" t="str">
        <f>VLOOKUP(LEFT(D24,1),テーブル!$D$5:$H$7,2,0)&amp;"会議室"</f>
        <v>小会議室</v>
      </c>
      <c r="F24" s="29">
        <v>0.375</v>
      </c>
      <c r="G24" s="29">
        <v>0.54166666666666663</v>
      </c>
      <c r="H24" s="2">
        <f t="shared" si="0"/>
        <v>4</v>
      </c>
      <c r="I24" s="30">
        <f>INDEX(テーブル!$K$4:$M$6,MATCH(RIGHT(D24,1),テーブル!$J$4:$J$6,0),MATCH(LEFT(D24,1),テーブル!$K$3:$M$3,0))*H24</f>
        <v>22520</v>
      </c>
      <c r="J24" s="30">
        <f>ROUND(I24*VLOOKUP(LEFT(D24,1),テーブル!$D$5:$H$7,3,0),-1)</f>
        <v>540</v>
      </c>
      <c r="K24" s="37">
        <f>ROUNDDOWN(I24*VLOOKUP(LEFT(D24,1),テーブル!$D$5:$H$7,IF(H24&lt;=6,4,5),0),-1)</f>
        <v>670</v>
      </c>
    </row>
    <row r="25" spans="1:11">
      <c r="A25" s="38">
        <v>24</v>
      </c>
      <c r="B25" s="39" t="s">
        <v>13</v>
      </c>
      <c r="C25" s="2" t="str">
        <f>VLOOKUP(B25,テーブル!$A$3:$B$6,2,0)</f>
        <v>ミドリ企画</v>
      </c>
      <c r="D25" s="39" t="s">
        <v>50</v>
      </c>
      <c r="E25" s="42" t="str">
        <f>VLOOKUP(LEFT(D25,1),テーブル!$D$5:$H$7,2,0)&amp;"会議室"</f>
        <v>大会議室</v>
      </c>
      <c r="F25" s="29">
        <v>0.41666666666666669</v>
      </c>
      <c r="G25" s="29">
        <v>0.82291666666666663</v>
      </c>
      <c r="H25" s="2">
        <f t="shared" si="0"/>
        <v>10</v>
      </c>
      <c r="I25" s="30">
        <f>INDEX(テーブル!$K$4:$M$6,MATCH(RIGHT(D25,1),テーブル!$J$4:$J$6,0),MATCH(LEFT(D25,1),テーブル!$K$3:$M$3,0))*H25</f>
        <v>95100</v>
      </c>
      <c r="J25" s="30">
        <f>ROUND(I25*VLOOKUP(LEFT(D25,1),テーブル!$D$5:$H$7,3,0),-1)</f>
        <v>2660</v>
      </c>
      <c r="K25" s="37">
        <f>ROUNDDOWN(I25*VLOOKUP(LEFT(D25,1),テーブル!$D$5:$H$7,IF(H25&lt;=6,4,5),0),-1)</f>
        <v>7600</v>
      </c>
    </row>
    <row r="26" spans="1:11">
      <c r="A26" s="38">
        <v>25</v>
      </c>
      <c r="B26" s="39" t="s">
        <v>7</v>
      </c>
      <c r="C26" s="2" t="str">
        <f>VLOOKUP(B26,テーブル!$A$3:$B$6,2,0)</f>
        <v>佐々木証券</v>
      </c>
      <c r="D26" s="39" t="s">
        <v>55</v>
      </c>
      <c r="E26" s="42" t="str">
        <f>VLOOKUP(LEFT(D26,1),テーブル!$D$5:$H$7,2,0)&amp;"会議室"</f>
        <v>小会議室</v>
      </c>
      <c r="F26" s="29">
        <v>0.37152777777777773</v>
      </c>
      <c r="G26" s="29">
        <v>0.64583333333333337</v>
      </c>
      <c r="H26" s="2">
        <f t="shared" si="0"/>
        <v>7</v>
      </c>
      <c r="I26" s="30">
        <f>INDEX(テーブル!$K$4:$M$6,MATCH(RIGHT(D26,1),テーブル!$J$4:$J$6,0),MATCH(LEFT(D26,1),テーブル!$K$3:$M$3,0))*H26</f>
        <v>39410</v>
      </c>
      <c r="J26" s="30">
        <f>ROUND(I26*VLOOKUP(LEFT(D26,1),テーブル!$D$5:$H$7,3,0),-1)</f>
        <v>950</v>
      </c>
      <c r="K26" s="37">
        <f>ROUNDDOWN(I26*VLOOKUP(LEFT(D26,1),テーブル!$D$5:$H$7,IF(H26&lt;=6,4,5),0),-1)</f>
        <v>1570</v>
      </c>
    </row>
    <row r="27" spans="1:11">
      <c r="A27" s="38">
        <v>26</v>
      </c>
      <c r="B27" s="39" t="s">
        <v>10</v>
      </c>
      <c r="C27" s="2" t="str">
        <f>VLOOKUP(B27,テーブル!$A$3:$B$6,2,0)</f>
        <v>ＡＢＣ総業</v>
      </c>
      <c r="D27" s="40" t="s">
        <v>49</v>
      </c>
      <c r="E27" s="42" t="str">
        <f>VLOOKUP(LEFT(D27,1),テーブル!$D$5:$H$7,2,0)&amp;"会議室"</f>
        <v>大会議室</v>
      </c>
      <c r="F27" s="29">
        <v>0.36805555555555558</v>
      </c>
      <c r="G27" s="29">
        <v>0.86458333333333337</v>
      </c>
      <c r="H27" s="2">
        <f t="shared" si="0"/>
        <v>12</v>
      </c>
      <c r="I27" s="30">
        <f>INDEX(テーブル!$K$4:$M$6,MATCH(RIGHT(D27,1),テーブル!$J$4:$J$6,0),MATCH(LEFT(D27,1),テーブル!$K$3:$M$3,0))*H27</f>
        <v>117840</v>
      </c>
      <c r="J27" s="30">
        <f>ROUND(I27*VLOOKUP(LEFT(D27,1),テーブル!$D$5:$H$7,3,0),-1)</f>
        <v>3300</v>
      </c>
      <c r="K27" s="37">
        <f>ROUNDDOWN(I27*VLOOKUP(LEFT(D27,1),テーブル!$D$5:$H$7,IF(H27&lt;=6,4,5),0),-1)</f>
        <v>9420</v>
      </c>
    </row>
    <row r="28" spans="1:11">
      <c r="A28" s="38">
        <v>27</v>
      </c>
      <c r="B28" s="39" t="s">
        <v>11</v>
      </c>
      <c r="C28" s="2" t="str">
        <f>VLOOKUP(B28,テーブル!$A$3:$B$6,2,0)</f>
        <v>長谷川商事</v>
      </c>
      <c r="D28" s="39" t="s">
        <v>57</v>
      </c>
      <c r="E28" s="42" t="str">
        <f>VLOOKUP(LEFT(D28,1),テーブル!$D$5:$H$7,2,0)&amp;"会議室"</f>
        <v>小会議室</v>
      </c>
      <c r="F28" s="29">
        <v>0.35069444444444442</v>
      </c>
      <c r="G28" s="29">
        <v>0.55208333333333337</v>
      </c>
      <c r="H28" s="2">
        <f t="shared" si="0"/>
        <v>5</v>
      </c>
      <c r="I28" s="30">
        <f>INDEX(テーブル!$K$4:$M$6,MATCH(RIGHT(D28,1),テーブル!$J$4:$J$6,0),MATCH(LEFT(D28,1),テーブル!$K$3:$M$3,0))*H28</f>
        <v>29100</v>
      </c>
      <c r="J28" s="30">
        <f>ROUND(I28*VLOOKUP(LEFT(D28,1),テーブル!$D$5:$H$7,3,0),-1)</f>
        <v>700</v>
      </c>
      <c r="K28" s="37">
        <f>ROUNDDOWN(I28*VLOOKUP(LEFT(D28,1),テーブル!$D$5:$H$7,IF(H28&lt;=6,4,5),0),-1)</f>
        <v>870</v>
      </c>
    </row>
    <row r="29" spans="1:11">
      <c r="A29" s="38">
        <v>28</v>
      </c>
      <c r="B29" s="39" t="s">
        <v>13</v>
      </c>
      <c r="C29" s="2" t="str">
        <f>VLOOKUP(B29,テーブル!$A$3:$B$6,2,0)</f>
        <v>ミドリ企画</v>
      </c>
      <c r="D29" s="39" t="s">
        <v>53</v>
      </c>
      <c r="E29" s="42" t="str">
        <f>VLOOKUP(LEFT(D29,1),テーブル!$D$5:$H$7,2,0)&amp;"会議室"</f>
        <v>中会議室</v>
      </c>
      <c r="F29" s="29">
        <v>0.37847222222222227</v>
      </c>
      <c r="G29" s="29">
        <v>0.82638888888888884</v>
      </c>
      <c r="H29" s="2">
        <f t="shared" si="0"/>
        <v>11</v>
      </c>
      <c r="I29" s="30">
        <f>INDEX(テーブル!$K$4:$M$6,MATCH(RIGHT(D29,1),テーブル!$J$4:$J$6,0),MATCH(LEFT(D29,1),テーブル!$K$3:$M$3,0))*H29</f>
        <v>83160</v>
      </c>
      <c r="J29" s="30">
        <f>ROUND(I29*VLOOKUP(LEFT(D29,1),テーブル!$D$5:$H$7,3,0),-1)</f>
        <v>2160</v>
      </c>
      <c r="K29" s="37">
        <f>ROUNDDOWN(I29*VLOOKUP(LEFT(D29,1),テーブル!$D$5:$H$7,IF(H29&lt;=6,4,5),0),-1)</f>
        <v>4980</v>
      </c>
    </row>
    <row r="30" spans="1:11">
      <c r="A30" s="38">
        <v>29</v>
      </c>
      <c r="B30" s="39" t="s">
        <v>7</v>
      </c>
      <c r="C30" s="2" t="str">
        <f>VLOOKUP(B30,テーブル!$A$3:$B$6,2,0)</f>
        <v>佐々木証券</v>
      </c>
      <c r="D30" s="39" t="s">
        <v>56</v>
      </c>
      <c r="E30" s="42" t="str">
        <f>VLOOKUP(LEFT(D30,1),テーブル!$D$5:$H$7,2,0)&amp;"会議室"</f>
        <v>小会議室</v>
      </c>
      <c r="F30" s="29">
        <v>0.38541666666666669</v>
      </c>
      <c r="G30" s="29">
        <v>0.68055555555555547</v>
      </c>
      <c r="H30" s="2">
        <f t="shared" si="0"/>
        <v>8</v>
      </c>
      <c r="I30" s="30">
        <f>INDEX(テーブル!$K$4:$M$6,MATCH(RIGHT(D30,1),テーブル!$J$4:$J$6,0),MATCH(LEFT(D30,1),テーブル!$K$3:$M$3,0))*H30</f>
        <v>43680</v>
      </c>
      <c r="J30" s="30">
        <f>ROUND(I30*VLOOKUP(LEFT(D30,1),テーブル!$D$5:$H$7,3,0),-1)</f>
        <v>1050</v>
      </c>
      <c r="K30" s="37">
        <f>ROUNDDOWN(I30*VLOOKUP(LEFT(D30,1),テーブル!$D$5:$H$7,IF(H30&lt;=6,4,5),0),-1)</f>
        <v>1740</v>
      </c>
    </row>
    <row r="31" spans="1:11">
      <c r="A31" s="38">
        <v>30</v>
      </c>
      <c r="B31" s="39" t="s">
        <v>10</v>
      </c>
      <c r="C31" s="2" t="str">
        <f>VLOOKUP(B31,テーブル!$A$3:$B$6,2,0)</f>
        <v>ＡＢＣ総業</v>
      </c>
      <c r="D31" s="39" t="s">
        <v>55</v>
      </c>
      <c r="E31" s="42" t="str">
        <f>VLOOKUP(LEFT(D31,1),テーブル!$D$5:$H$7,2,0)&amp;"会議室"</f>
        <v>小会議室</v>
      </c>
      <c r="F31" s="29">
        <v>0.63888888888888895</v>
      </c>
      <c r="G31" s="29">
        <v>0.79513888888888884</v>
      </c>
      <c r="H31" s="2">
        <f t="shared" si="0"/>
        <v>4</v>
      </c>
      <c r="I31" s="30">
        <f>INDEX(テーブル!$K$4:$M$6,MATCH(RIGHT(D31,1),テーブル!$J$4:$J$6,0),MATCH(LEFT(D31,1),テーブル!$K$3:$M$3,0))*H31</f>
        <v>22520</v>
      </c>
      <c r="J31" s="30">
        <f>ROUND(I31*VLOOKUP(LEFT(D31,1),テーブル!$D$5:$H$7,3,0),-1)</f>
        <v>540</v>
      </c>
      <c r="K31" s="37">
        <f>ROUNDDOWN(I31*VLOOKUP(LEFT(D31,1),テーブル!$D$5:$H$7,IF(H31&lt;=6,4,5),0),-1)</f>
        <v>670</v>
      </c>
    </row>
    <row r="32" spans="1:11">
      <c r="A32" s="38">
        <v>31</v>
      </c>
      <c r="B32" s="39" t="s">
        <v>11</v>
      </c>
      <c r="C32" s="2" t="str">
        <f>VLOOKUP(B32,テーブル!$A$3:$B$6,2,0)</f>
        <v>長谷川商事</v>
      </c>
      <c r="D32" s="39" t="s">
        <v>54</v>
      </c>
      <c r="E32" s="42" t="str">
        <f>VLOOKUP(LEFT(D32,1),テーブル!$D$5:$H$7,2,0)&amp;"会議室"</f>
        <v>中会議室</v>
      </c>
      <c r="F32" s="29">
        <v>0.49305555555555558</v>
      </c>
      <c r="G32" s="29">
        <v>0.78125</v>
      </c>
      <c r="H32" s="2">
        <f t="shared" si="0"/>
        <v>7</v>
      </c>
      <c r="I32" s="30">
        <f>INDEX(テーブル!$K$4:$M$6,MATCH(RIGHT(D32,1),テーブル!$J$4:$J$6,0),MATCH(LEFT(D32,1),テーブル!$K$3:$M$3,0))*H32</f>
        <v>51240</v>
      </c>
      <c r="J32" s="30">
        <f>ROUND(I32*VLOOKUP(LEFT(D32,1),テーブル!$D$5:$H$7,3,0),-1)</f>
        <v>1330</v>
      </c>
      <c r="K32" s="37">
        <f>ROUNDDOWN(I32*VLOOKUP(LEFT(D32,1),テーブル!$D$5:$H$7,IF(H32&lt;=6,4,5),0),-1)</f>
        <v>3070</v>
      </c>
    </row>
    <row r="33" spans="1:11">
      <c r="A33" s="38">
        <v>32</v>
      </c>
      <c r="B33" s="39" t="s">
        <v>13</v>
      </c>
      <c r="C33" s="2" t="str">
        <f>VLOOKUP(B33,テーブル!$A$3:$B$6,2,0)</f>
        <v>ミドリ企画</v>
      </c>
      <c r="D33" s="39" t="s">
        <v>57</v>
      </c>
      <c r="E33" s="42" t="str">
        <f>VLOOKUP(LEFT(D33,1),テーブル!$D$5:$H$7,2,0)&amp;"会議室"</f>
        <v>小会議室</v>
      </c>
      <c r="F33" s="29">
        <v>0.50694444444444442</v>
      </c>
      <c r="G33" s="29">
        <v>0.75347222222222221</v>
      </c>
      <c r="H33" s="2">
        <f t="shared" si="0"/>
        <v>6</v>
      </c>
      <c r="I33" s="30">
        <f>INDEX(テーブル!$K$4:$M$6,MATCH(RIGHT(D33,1),テーブル!$J$4:$J$6,0),MATCH(LEFT(D33,1),テーブル!$K$3:$M$3,0))*H33</f>
        <v>34920</v>
      </c>
      <c r="J33" s="30">
        <f>ROUND(I33*VLOOKUP(LEFT(D33,1),テーブル!$D$5:$H$7,3,0),-1)</f>
        <v>840</v>
      </c>
      <c r="K33" s="37">
        <f>ROUNDDOWN(I33*VLOOKUP(LEFT(D33,1),テーブル!$D$5:$H$7,IF(H33&lt;=6,4,5),0),-1)</f>
        <v>1040</v>
      </c>
    </row>
    <row r="34" spans="1:11">
      <c r="A34" s="38">
        <v>33</v>
      </c>
      <c r="B34" s="39" t="s">
        <v>7</v>
      </c>
      <c r="C34" s="2" t="str">
        <f>VLOOKUP(B34,テーブル!$A$3:$B$6,2,0)</f>
        <v>佐々木証券</v>
      </c>
      <c r="D34" s="39" t="s">
        <v>48</v>
      </c>
      <c r="E34" s="42" t="str">
        <f>VLOOKUP(LEFT(D34,1),テーブル!$D$5:$H$7,2,0)&amp;"会議室"</f>
        <v>大会議室</v>
      </c>
      <c r="F34" s="29">
        <v>0.35416666666666669</v>
      </c>
      <c r="G34" s="29">
        <v>0.47569444444444442</v>
      </c>
      <c r="H34" s="2">
        <f t="shared" si="0"/>
        <v>3</v>
      </c>
      <c r="I34" s="30">
        <f>INDEX(テーブル!$K$4:$M$6,MATCH(RIGHT(D34,1),テーブル!$J$4:$J$6,0),MATCH(LEFT(D34,1),テーブル!$K$3:$M$3,0))*H34</f>
        <v>29460</v>
      </c>
      <c r="J34" s="30">
        <f>ROUND(I34*VLOOKUP(LEFT(D34,1),テーブル!$D$5:$H$7,3,0),-1)</f>
        <v>820</v>
      </c>
      <c r="K34" s="37">
        <f>ROUNDDOWN(I34*VLOOKUP(LEFT(D34,1),テーブル!$D$5:$H$7,IF(H34&lt;=6,4,5),0),-1)</f>
        <v>2060</v>
      </c>
    </row>
    <row r="35" spans="1:11">
      <c r="A35" s="38">
        <v>34</v>
      </c>
      <c r="B35" s="39" t="s">
        <v>10</v>
      </c>
      <c r="C35" s="2" t="str">
        <f>VLOOKUP(B35,テーブル!$A$3:$B$6,2,0)</f>
        <v>ＡＢＣ総業</v>
      </c>
      <c r="D35" s="39" t="s">
        <v>57</v>
      </c>
      <c r="E35" s="42" t="str">
        <f>VLOOKUP(LEFT(D35,1),テーブル!$D$5:$H$7,2,0)&amp;"会議室"</f>
        <v>小会議室</v>
      </c>
      <c r="F35" s="29">
        <v>0.37847222222222227</v>
      </c>
      <c r="G35" s="29">
        <v>0.54166666666666663</v>
      </c>
      <c r="H35" s="2">
        <f t="shared" si="0"/>
        <v>4</v>
      </c>
      <c r="I35" s="30">
        <f>INDEX(テーブル!$K$4:$M$6,MATCH(RIGHT(D35,1),テーブル!$J$4:$J$6,0),MATCH(LEFT(D35,1),テーブル!$K$3:$M$3,0))*H35</f>
        <v>23280</v>
      </c>
      <c r="J35" s="30">
        <f>ROUND(I35*VLOOKUP(LEFT(D35,1),テーブル!$D$5:$H$7,3,0),-1)</f>
        <v>560</v>
      </c>
      <c r="K35" s="37">
        <f>ROUNDDOWN(I35*VLOOKUP(LEFT(D35,1),テーブル!$D$5:$H$7,IF(H35&lt;=6,4,5),0),-1)</f>
        <v>690</v>
      </c>
    </row>
    <row r="36" spans="1:11">
      <c r="A36" s="38">
        <v>35</v>
      </c>
      <c r="B36" s="39" t="s">
        <v>11</v>
      </c>
      <c r="C36" s="2" t="str">
        <f>VLOOKUP(B36,テーブル!$A$3:$B$6,2,0)</f>
        <v>長谷川商事</v>
      </c>
      <c r="D36" s="39" t="s">
        <v>50</v>
      </c>
      <c r="E36" s="42" t="str">
        <f>VLOOKUP(LEFT(D36,1),テーブル!$D$5:$H$7,2,0)&amp;"会議室"</f>
        <v>大会議室</v>
      </c>
      <c r="F36" s="29">
        <v>0.35069444444444442</v>
      </c>
      <c r="G36" s="29">
        <v>0.84722222222222221</v>
      </c>
      <c r="H36" s="2">
        <f t="shared" si="0"/>
        <v>12</v>
      </c>
      <c r="I36" s="30">
        <f>INDEX(テーブル!$K$4:$M$6,MATCH(RIGHT(D36,1),テーブル!$J$4:$J$6,0),MATCH(LEFT(D36,1),テーブル!$K$3:$M$3,0))*H36</f>
        <v>114120</v>
      </c>
      <c r="J36" s="30">
        <f>ROUND(I36*VLOOKUP(LEFT(D36,1),テーブル!$D$5:$H$7,3,0),-1)</f>
        <v>3200</v>
      </c>
      <c r="K36" s="37">
        <f>ROUNDDOWN(I36*VLOOKUP(LEFT(D36,1),テーブル!$D$5:$H$7,IF(H36&lt;=6,4,5),0),-1)</f>
        <v>9120</v>
      </c>
    </row>
    <row r="37" spans="1:11">
      <c r="A37" s="38">
        <v>36</v>
      </c>
      <c r="B37" s="39" t="s">
        <v>13</v>
      </c>
      <c r="C37" s="2" t="str">
        <f>VLOOKUP(B37,テーブル!$A$3:$B$6,2,0)</f>
        <v>ミドリ企画</v>
      </c>
      <c r="D37" s="39" t="s">
        <v>53</v>
      </c>
      <c r="E37" s="42" t="str">
        <f>VLOOKUP(LEFT(D37,1),テーブル!$D$5:$H$7,2,0)&amp;"会議室"</f>
        <v>中会議室</v>
      </c>
      <c r="F37" s="29">
        <v>0.36458333333333331</v>
      </c>
      <c r="G37" s="29">
        <v>0.52430555555555558</v>
      </c>
      <c r="H37" s="2">
        <f t="shared" si="0"/>
        <v>4</v>
      </c>
      <c r="I37" s="30">
        <f>INDEX(テーブル!$K$4:$M$6,MATCH(RIGHT(D37,1),テーブル!$J$4:$J$6,0),MATCH(LEFT(D37,1),テーブル!$K$3:$M$3,0))*H37</f>
        <v>30240</v>
      </c>
      <c r="J37" s="30">
        <f>ROUND(I37*VLOOKUP(LEFT(D37,1),テーブル!$D$5:$H$7,3,0),-1)</f>
        <v>790</v>
      </c>
      <c r="K37" s="37">
        <f>ROUNDDOWN(I37*VLOOKUP(LEFT(D37,1),テーブル!$D$5:$H$7,IF(H37&lt;=6,4,5),0),-1)</f>
        <v>1510</v>
      </c>
    </row>
    <row r="38" spans="1:11">
      <c r="A38" s="8"/>
      <c r="B38" s="2"/>
      <c r="C38" s="2"/>
      <c r="D38" s="2"/>
      <c r="E38" s="2"/>
      <c r="F38" s="2"/>
      <c r="G38" s="2"/>
      <c r="H38" s="2"/>
      <c r="I38" s="2"/>
      <c r="J38" s="2"/>
      <c r="K38" s="9"/>
    </row>
    <row r="39" spans="1:11" ht="14.25" thickBot="1">
      <c r="A39" s="10"/>
      <c r="B39" s="31"/>
      <c r="C39" s="11" t="s">
        <v>0</v>
      </c>
      <c r="D39" s="31"/>
      <c r="E39" s="31"/>
      <c r="F39" s="31"/>
      <c r="G39" s="31"/>
      <c r="H39" s="31">
        <f>SUM(H2:H37)</f>
        <v>280</v>
      </c>
      <c r="I39" s="32">
        <f>SUM(I2:I37)</f>
        <v>2142110</v>
      </c>
      <c r="J39" s="32">
        <f t="shared" ref="J39:K39" si="1">SUM(J2:J37)</f>
        <v>56810</v>
      </c>
      <c r="K39" s="33">
        <f t="shared" si="1"/>
        <v>134550</v>
      </c>
    </row>
    <row r="40" spans="1:11">
      <c r="K40" s="20"/>
    </row>
    <row r="41" spans="1:11">
      <c r="I41" s="20"/>
    </row>
  </sheetData>
  <sortState xmlns:xlrd2="http://schemas.microsoft.com/office/spreadsheetml/2017/richdata2" ref="A2:K37">
    <sortCondition ref="A2:A37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D4D91-00D8-472F-A1DC-CA890DF5890C}">
  <dimension ref="A1:Q11"/>
  <sheetViews>
    <sheetView zoomScaleNormal="100" workbookViewId="0">
      <selection sqref="A1:G1"/>
    </sheetView>
  </sheetViews>
  <sheetFormatPr defaultRowHeight="13.5"/>
  <cols>
    <col min="1" max="1" width="7.5" bestFit="1" customWidth="1"/>
    <col min="2" max="2" width="11.625" bestFit="1" customWidth="1"/>
    <col min="3" max="3" width="10.5" bestFit="1" customWidth="1"/>
    <col min="4" max="4" width="7.5" bestFit="1" customWidth="1"/>
    <col min="5" max="5" width="8.5" bestFit="1" customWidth="1"/>
    <col min="6" max="6" width="10.5" bestFit="1" customWidth="1"/>
    <col min="7" max="7" width="9.5" bestFit="1" customWidth="1"/>
    <col min="8" max="8" width="4.5" customWidth="1"/>
    <col min="9" max="11" width="9.5" bestFit="1" customWidth="1"/>
    <col min="12" max="12" width="7.5" bestFit="1" customWidth="1"/>
    <col min="13" max="13" width="8.5" bestFit="1" customWidth="1"/>
    <col min="14" max="14" width="4.375" customWidth="1"/>
    <col min="15" max="15" width="43.875" bestFit="1" customWidth="1"/>
    <col min="16" max="16" width="11.625" bestFit="1" customWidth="1"/>
    <col min="17" max="17" width="6.5" bestFit="1" customWidth="1"/>
  </cols>
  <sheetData>
    <row r="1" spans="1:17" ht="14.25" thickBot="1">
      <c r="A1" s="50" t="s">
        <v>70</v>
      </c>
      <c r="B1" s="50"/>
      <c r="C1" s="50"/>
      <c r="D1" s="50"/>
      <c r="E1" s="50"/>
      <c r="F1" s="50"/>
      <c r="G1" s="50"/>
      <c r="I1" s="50" t="s">
        <v>74</v>
      </c>
      <c r="J1" s="50"/>
      <c r="K1" s="50"/>
      <c r="L1" s="50"/>
      <c r="M1" s="50"/>
    </row>
    <row r="2" spans="1:17">
      <c r="A2" s="5" t="s">
        <v>32</v>
      </c>
      <c r="B2" s="6" t="s">
        <v>33</v>
      </c>
      <c r="C2" s="6" t="s">
        <v>5</v>
      </c>
      <c r="D2" s="6" t="s">
        <v>69</v>
      </c>
      <c r="E2" s="6" t="s">
        <v>1</v>
      </c>
      <c r="F2" s="6" t="s">
        <v>2</v>
      </c>
      <c r="G2" s="41" t="s">
        <v>44</v>
      </c>
      <c r="I2" s="5" t="s">
        <v>75</v>
      </c>
      <c r="J2" s="6" t="s">
        <v>5</v>
      </c>
      <c r="K2" s="6" t="s">
        <v>69</v>
      </c>
      <c r="L2" s="6" t="s">
        <v>1</v>
      </c>
      <c r="M2" s="7" t="s">
        <v>73</v>
      </c>
      <c r="O2" s="17" t="s">
        <v>65</v>
      </c>
      <c r="P2" s="27">
        <f>DSUM(料金データ表!$A$1:$K$37,11,P6:Q7)</f>
        <v>52070</v>
      </c>
    </row>
    <row r="3" spans="1:17">
      <c r="A3" s="8" t="s">
        <v>10</v>
      </c>
      <c r="B3" s="2" t="str">
        <f>VLOOKUP(A3,テーブル!$A$3:$B$6,2,0)</f>
        <v>ＡＢＣ総業</v>
      </c>
      <c r="C3" s="3">
        <f>DSUM(料金データ表!$A$1:$K$37,C$2,$B$10:$B$11)</f>
        <v>622750</v>
      </c>
      <c r="D3" s="3">
        <f>DSUM(料金データ表!$A$1:$K$37,D$2,$B$10:$B$11)</f>
        <v>16840</v>
      </c>
      <c r="E3" s="3">
        <f>DSUM(料金データ表!$A$1:$K$37,E$2,$B$10:$B$11)</f>
        <v>43130</v>
      </c>
      <c r="F3" s="3">
        <f>C3+D3-E3</f>
        <v>596460</v>
      </c>
      <c r="G3" s="14">
        <f>ROUNDUP(F3*VLOOKUP(RIGHT(A3,1),テーブル!$O$3:$P$5,2,0),0)</f>
        <v>11333</v>
      </c>
      <c r="I3" s="8" t="s">
        <v>38</v>
      </c>
      <c r="J3" s="24">
        <f>DSUM(料金データ表!$A$1:$K$37,J$2,$I$7:$I$8)</f>
        <v>978300</v>
      </c>
      <c r="K3" s="24">
        <f>DSUM(料金データ表!$A$1:$K$37,K$2,$I$7:$I$8)</f>
        <v>27410</v>
      </c>
      <c r="L3" s="24">
        <f>DSUM(料金データ表!$A$1:$K$37,L$2,$I$7:$I$8)</f>
        <v>76240</v>
      </c>
      <c r="M3" s="25">
        <f>J3+K3-L3</f>
        <v>929470</v>
      </c>
      <c r="O3" s="8" t="s">
        <v>71</v>
      </c>
      <c r="P3" s="9">
        <f>DCOUNTA(料金データ表!$A$1:$K$37,5,P8:Q9)</f>
        <v>6</v>
      </c>
    </row>
    <row r="4" spans="1:17" ht="14.25" thickBot="1">
      <c r="A4" s="8" t="s">
        <v>11</v>
      </c>
      <c r="B4" s="2" t="str">
        <f>VLOOKUP(A4,テーブル!$A$3:$B$6,2,0)</f>
        <v>長谷川商事</v>
      </c>
      <c r="C4" s="3">
        <f>DSUM(料金データ表!$A$1:$K$37,C$2,$C$10:$C$11)</f>
        <v>533510</v>
      </c>
      <c r="D4" s="3">
        <f>DSUM(料金データ表!$A$1:$K$37,D$2,$C$10:$C$11)</f>
        <v>13980</v>
      </c>
      <c r="E4" s="3">
        <f>DSUM(料金データ表!$A$1:$K$37,E$2,$C$10:$C$11)</f>
        <v>31990</v>
      </c>
      <c r="F4" s="3">
        <f>C4+D4-E4</f>
        <v>515500</v>
      </c>
      <c r="G4" s="14">
        <f>ROUNDUP(F4*VLOOKUP(RIGHT(A4,1),テーブル!$O$3:$P$5,2,0),0)</f>
        <v>7733</v>
      </c>
      <c r="I4" s="8" t="s">
        <v>39</v>
      </c>
      <c r="J4" s="24">
        <f>DSUM(料金データ表!$A$1:$K$37,J$2,$J$7:$J$8)</f>
        <v>725570</v>
      </c>
      <c r="K4" s="24">
        <f>DSUM(料金データ表!$A$1:$K$37,K$2,$J$7:$J$8)</f>
        <v>18860</v>
      </c>
      <c r="L4" s="24">
        <f>DSUM(料金データ表!$A$1:$K$37,L$2,$J$7:$J$8)</f>
        <v>42500</v>
      </c>
      <c r="M4" s="25">
        <f t="shared" ref="M4:M5" si="0">J4+K4-L4</f>
        <v>701930</v>
      </c>
      <c r="O4" s="10" t="s">
        <v>68</v>
      </c>
      <c r="P4" s="19" t="str">
        <f>DGET(料金データ表!$A$1:$K$37,3,P10:P11)</f>
        <v>ミドリ企画</v>
      </c>
    </row>
    <row r="5" spans="1:17" ht="14.25" thickBot="1">
      <c r="A5" s="8" t="s">
        <v>13</v>
      </c>
      <c r="B5" s="2" t="str">
        <f>VLOOKUP(A5,テーブル!$A$3:$B$6,2,0)</f>
        <v>ミドリ企画</v>
      </c>
      <c r="C5" s="3">
        <f>DSUM(料金データ表!$A$1:$K$37,C$2,$D$10:$D$11)</f>
        <v>521730</v>
      </c>
      <c r="D5" s="3">
        <f>DSUM(料金データ表!$A$1:$K$37,D$2,$D$10:$D$11)</f>
        <v>13620</v>
      </c>
      <c r="E5" s="3">
        <f>DSUM(料金データ表!$A$1:$K$37,E$2,$D$10:$D$11)</f>
        <v>30370</v>
      </c>
      <c r="F5" s="3">
        <f>C5+D5-E5</f>
        <v>504980</v>
      </c>
      <c r="G5" s="14">
        <f>ROUNDUP(F5*VLOOKUP(RIGHT(A5,1),テーブル!$O$3:$P$5,2,0),0)</f>
        <v>9595</v>
      </c>
      <c r="I5" s="10" t="s">
        <v>40</v>
      </c>
      <c r="J5" s="28">
        <f>DSUM(料金データ表!$A$1:$K$37,J$2,$K$7:$K$8)</f>
        <v>438240</v>
      </c>
      <c r="K5" s="28">
        <f>DSUM(料金データ表!$A$1:$K$37,K$2,$K$7:$K$8)</f>
        <v>10540</v>
      </c>
      <c r="L5" s="28">
        <f>DSUM(料金データ表!$A$1:$K$37,L$2,$K$7:$K$8)</f>
        <v>15810</v>
      </c>
      <c r="M5" s="26">
        <f t="shared" si="0"/>
        <v>432970</v>
      </c>
    </row>
    <row r="6" spans="1:17" ht="14.25" thickBot="1">
      <c r="A6" s="8" t="s">
        <v>7</v>
      </c>
      <c r="B6" s="2" t="str">
        <f>VLOOKUP(A6,テーブル!$A$3:$B$6,2,0)</f>
        <v>佐々木証券</v>
      </c>
      <c r="C6" s="3">
        <f>DSUM(料金データ表!$A$1:$K$37,C$2,$A$10:$A$11)</f>
        <v>464120</v>
      </c>
      <c r="D6" s="3">
        <f>DSUM(料金データ表!$A$1:$K$37,D$2,$A$10:$A$11)</f>
        <v>12370</v>
      </c>
      <c r="E6" s="3">
        <f>DSUM(料金データ表!$A$1:$K$37,E$2,$A$10:$A$11)</f>
        <v>29060</v>
      </c>
      <c r="F6" s="3">
        <f>C6+D6-E6</f>
        <v>447430</v>
      </c>
      <c r="G6" s="14">
        <f>ROUNDUP(F6*VLOOKUP(RIGHT(A6,1),テーブル!$O$3:$P$5,2,0),0)</f>
        <v>7607</v>
      </c>
      <c r="P6" s="5" t="s">
        <v>16</v>
      </c>
      <c r="Q6" s="7" t="s">
        <v>16</v>
      </c>
    </row>
    <row r="7" spans="1:17" ht="14.25" thickBot="1">
      <c r="A7" s="8"/>
      <c r="B7" s="2"/>
      <c r="C7" s="2"/>
      <c r="D7" s="2"/>
      <c r="E7" s="2"/>
      <c r="F7" s="2"/>
      <c r="G7" s="9"/>
      <c r="I7" s="12" t="s">
        <v>30</v>
      </c>
      <c r="J7" s="12" t="s">
        <v>30</v>
      </c>
      <c r="K7" s="12" t="s">
        <v>30</v>
      </c>
      <c r="P7" s="10" t="s">
        <v>63</v>
      </c>
      <c r="Q7" s="19" t="s">
        <v>64</v>
      </c>
    </row>
    <row r="8" spans="1:17" ht="14.25" thickBot="1">
      <c r="A8" s="10"/>
      <c r="B8" s="11" t="s">
        <v>0</v>
      </c>
      <c r="C8" s="15">
        <f>SUM(C3:C6)</f>
        <v>2142110</v>
      </c>
      <c r="D8" s="15">
        <f>SUM(D3:D6)</f>
        <v>56810</v>
      </c>
      <c r="E8" s="15">
        <f>SUM(E3:E6)</f>
        <v>134550</v>
      </c>
      <c r="F8" s="15">
        <f>SUM(F3:F6)</f>
        <v>2064370</v>
      </c>
      <c r="G8" s="16">
        <f>SUM(G3:G6)</f>
        <v>36268</v>
      </c>
      <c r="I8" s="13" t="s">
        <v>35</v>
      </c>
      <c r="J8" s="13" t="s">
        <v>36</v>
      </c>
      <c r="K8" s="13" t="s">
        <v>37</v>
      </c>
      <c r="P8" s="5" t="s">
        <v>30</v>
      </c>
      <c r="Q8" s="7" t="s">
        <v>69</v>
      </c>
    </row>
    <row r="9" spans="1:17" ht="14.25" thickBot="1">
      <c r="P9" s="34" t="s">
        <v>67</v>
      </c>
      <c r="Q9" s="19" t="s">
        <v>66</v>
      </c>
    </row>
    <row r="10" spans="1:17">
      <c r="A10" s="12" t="s">
        <v>32</v>
      </c>
      <c r="B10" s="12" t="s">
        <v>32</v>
      </c>
      <c r="C10" s="12" t="s">
        <v>32</v>
      </c>
      <c r="D10" s="12" t="s">
        <v>32</v>
      </c>
      <c r="P10" s="12" t="s">
        <v>42</v>
      </c>
    </row>
    <row r="11" spans="1:17" ht="14.25" thickBot="1">
      <c r="A11" s="13" t="s">
        <v>7</v>
      </c>
      <c r="B11" s="13" t="s">
        <v>10</v>
      </c>
      <c r="C11" s="13" t="s">
        <v>11</v>
      </c>
      <c r="D11" s="13" t="s">
        <v>13</v>
      </c>
      <c r="F11" s="21"/>
      <c r="P11" s="35">
        <f>MIN(料金データ表!F2:F37)</f>
        <v>0.34027777777777773</v>
      </c>
    </row>
  </sheetData>
  <sortState xmlns:xlrd2="http://schemas.microsoft.com/office/spreadsheetml/2017/richdata2" ref="A3:G6">
    <sortCondition descending="1" ref="F3:F6"/>
  </sortState>
  <mergeCells count="2">
    <mergeCell ref="A1:G1"/>
    <mergeCell ref="I1:M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料金データ表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2022-12-01T06:30:02Z</cp:lastPrinted>
  <dcterms:created xsi:type="dcterms:W3CDTF">2019-03-28T01:49:55Z</dcterms:created>
  <dcterms:modified xsi:type="dcterms:W3CDTF">2023-01-06T08:27:41Z</dcterms:modified>
</cp:coreProperties>
</file>