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\\svr01\問題制作フォルダー\02_問題集\1表計算\2023(令和05)年度\3_SP初段\"/>
    </mc:Choice>
  </mc:AlternateContent>
  <xr:revisionPtr revIDLastSave="0" documentId="13_ncr:1_{C6BF4545-F3B9-42F5-9015-20FC4E20FD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テーブル" sheetId="1" r:id="rId1"/>
    <sheet name="部品Ｅ" sheetId="7" r:id="rId2"/>
    <sheet name="部品Ｆ" sheetId="8" r:id="rId3"/>
    <sheet name="部品Ｇ" sheetId="9" r:id="rId4"/>
    <sheet name="納品データ表" sheetId="11" r:id="rId5"/>
    <sheet name="計算表" sheetId="5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5" l="1"/>
  <c r="L6" i="5"/>
  <c r="L5" i="5"/>
  <c r="L4" i="5"/>
  <c r="L3" i="5"/>
  <c r="D3" i="9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" i="9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" i="8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" i="7"/>
  <c r="K7" i="5"/>
  <c r="K6" i="5"/>
  <c r="K5" i="5"/>
  <c r="K4" i="5"/>
  <c r="K3" i="5"/>
  <c r="L9" i="5" l="1"/>
  <c r="E40" i="11"/>
  <c r="E39" i="11"/>
  <c r="E38" i="11"/>
  <c r="E37" i="11"/>
  <c r="E36" i="11"/>
  <c r="E35" i="11"/>
  <c r="E34" i="11"/>
  <c r="E33" i="11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4" i="11"/>
  <c r="E3" i="11"/>
  <c r="E2" i="11"/>
  <c r="D5" i="5"/>
  <c r="C4" i="5"/>
  <c r="E6" i="5"/>
  <c r="C6" i="5"/>
  <c r="B6" i="5" l="1"/>
  <c r="B7" i="5"/>
  <c r="B4" i="5"/>
  <c r="B5" i="5"/>
  <c r="E7" i="5"/>
  <c r="D6" i="5"/>
  <c r="C7" i="5"/>
  <c r="E5" i="5"/>
  <c r="D7" i="5"/>
  <c r="C5" i="5"/>
  <c r="D4" i="5"/>
  <c r="E4" i="5"/>
  <c r="F6" i="5" l="1"/>
  <c r="G6" i="5" s="1"/>
  <c r="H6" i="5" s="1"/>
  <c r="F5" i="5"/>
  <c r="G5" i="5" s="1"/>
  <c r="H5" i="5" s="1"/>
  <c r="F4" i="5"/>
  <c r="G4" i="5" s="1"/>
  <c r="H4" i="5" s="1"/>
  <c r="F7" i="5"/>
  <c r="G7" i="5" s="1"/>
  <c r="H7" i="5" s="1"/>
  <c r="C9" i="5"/>
  <c r="D9" i="5" l="1"/>
  <c r="F9" i="5"/>
  <c r="E9" i="5" l="1"/>
  <c r="G9" i="5" l="1"/>
  <c r="H9" i="5"/>
  <c r="M7" i="5"/>
  <c r="M5" i="5"/>
  <c r="M4" i="5"/>
  <c r="N4" i="5" s="1"/>
  <c r="M6" i="5"/>
  <c r="N6" i="5" s="1"/>
  <c r="M3" i="5"/>
  <c r="N3" i="5" s="1"/>
  <c r="O3" i="5" l="1"/>
  <c r="O4" i="5"/>
  <c r="O6" i="5"/>
  <c r="M9" i="5"/>
  <c r="N7" i="5"/>
  <c r="O7" i="5" s="1"/>
  <c r="N5" i="5"/>
  <c r="O5" i="5" s="1"/>
  <c r="O9" i="5" l="1"/>
  <c r="N9" i="5"/>
</calcChain>
</file>

<file path=xl/sharedStrings.xml><?xml version="1.0" encoding="utf-8"?>
<sst xmlns="http://schemas.openxmlformats.org/spreadsheetml/2006/main" count="168" uniqueCount="54">
  <si>
    <t>合　計</t>
  </si>
  <si>
    <t>101C</t>
  </si>
  <si>
    <t>104C</t>
  </si>
  <si>
    <t>請求額</t>
  </si>
  <si>
    <t>A</t>
  </si>
  <si>
    <t>B</t>
  </si>
  <si>
    <t>C</t>
  </si>
  <si>
    <t>納品先別請求額計算表</t>
  </si>
  <si>
    <t>社員別支給額計算表</t>
  </si>
  <si>
    <t>社ＣＯ</t>
  </si>
  <si>
    <t>部ＣＯ</t>
  </si>
  <si>
    <t>納ＣＯ</t>
  </si>
  <si>
    <t>部品名</t>
  </si>
  <si>
    <t>納品先名</t>
  </si>
  <si>
    <t>諸経費</t>
  </si>
  <si>
    <t>社員名</t>
  </si>
  <si>
    <t>積立金</t>
  </si>
  <si>
    <t>支給額</t>
  </si>
  <si>
    <t>102B</t>
  </si>
  <si>
    <t>103A</t>
  </si>
  <si>
    <t>＜社員テーブル＞</t>
    <phoneticPr fontId="1"/>
  </si>
  <si>
    <t>＜部品テーブル＞</t>
    <phoneticPr fontId="1"/>
  </si>
  <si>
    <t>＜納品先テーブル＞</t>
    <phoneticPr fontId="1"/>
  </si>
  <si>
    <t>社ＣＯ</t>
    <phoneticPr fontId="1"/>
  </si>
  <si>
    <t>区分</t>
    <rPh sb="0" eb="2">
      <t>クブン</t>
    </rPh>
    <phoneticPr fontId="1"/>
  </si>
  <si>
    <t>＜出来高単価テーブル＞</t>
    <rPh sb="1" eb="4">
      <t>デキダカ</t>
    </rPh>
    <rPh sb="4" eb="6">
      <t>タンカ</t>
    </rPh>
    <phoneticPr fontId="1"/>
  </si>
  <si>
    <t>納品数</t>
    <rPh sb="0" eb="3">
      <t>ノウヒンスウ</t>
    </rPh>
    <phoneticPr fontId="1"/>
  </si>
  <si>
    <t>社ＣＯ</t>
    <rPh sb="0" eb="1">
      <t>シャ</t>
    </rPh>
    <phoneticPr fontId="1"/>
  </si>
  <si>
    <t>作業日</t>
    <rPh sb="0" eb="3">
      <t>サギョウビ</t>
    </rPh>
    <phoneticPr fontId="1"/>
  </si>
  <si>
    <t>納品数</t>
    <rPh sb="0" eb="2">
      <t>ノウヒン</t>
    </rPh>
    <rPh sb="2" eb="3">
      <t>スウ</t>
    </rPh>
    <phoneticPr fontId="1"/>
  </si>
  <si>
    <t>作業数</t>
    <rPh sb="0" eb="2">
      <t>サギョウ</t>
    </rPh>
    <rPh sb="2" eb="3">
      <t>スウ</t>
    </rPh>
    <phoneticPr fontId="1"/>
  </si>
  <si>
    <t>出来高賃金</t>
    <rPh sb="0" eb="3">
      <t>デキダカ</t>
    </rPh>
    <rPh sb="3" eb="5">
      <t>チンギン</t>
    </rPh>
    <phoneticPr fontId="1"/>
  </si>
  <si>
    <t>勤勉手当</t>
    <rPh sb="0" eb="2">
      <t>キンベン</t>
    </rPh>
    <rPh sb="2" eb="4">
      <t>テアテ</t>
    </rPh>
    <phoneticPr fontId="1"/>
  </si>
  <si>
    <t>納品単価</t>
    <rPh sb="0" eb="2">
      <t>ノウヒン</t>
    </rPh>
    <rPh sb="2" eb="4">
      <t>タンカ</t>
    </rPh>
    <phoneticPr fontId="1"/>
  </si>
  <si>
    <t>納品乗率</t>
    <rPh sb="0" eb="2">
      <t>ノウヒン</t>
    </rPh>
    <rPh sb="2" eb="4">
      <t>ジョウリツ</t>
    </rPh>
    <phoneticPr fontId="1"/>
  </si>
  <si>
    <t>＜納品乗率表＞</t>
    <rPh sb="1" eb="3">
      <t>ノウヒン</t>
    </rPh>
    <rPh sb="3" eb="5">
      <t>ジョウリツ</t>
    </rPh>
    <rPh sb="5" eb="6">
      <t>ヒョウ</t>
    </rPh>
    <phoneticPr fontId="1"/>
  </si>
  <si>
    <t>納品代金</t>
    <rPh sb="0" eb="2">
      <t>ノウヒン</t>
    </rPh>
    <phoneticPr fontId="1"/>
  </si>
  <si>
    <t>部品Ｅ</t>
    <phoneticPr fontId="1"/>
  </si>
  <si>
    <t>部品Ｆ</t>
    <phoneticPr fontId="1"/>
  </si>
  <si>
    <t>部品Ｇ</t>
    <phoneticPr fontId="1"/>
  </si>
  <si>
    <t>部品Ｅ</t>
    <rPh sb="0" eb="2">
      <t>ブヒン</t>
    </rPh>
    <phoneticPr fontId="1"/>
  </si>
  <si>
    <t>部品Ｆ</t>
    <rPh sb="0" eb="2">
      <t>ブヒン</t>
    </rPh>
    <phoneticPr fontId="1"/>
  </si>
  <si>
    <t>部品Ｇ</t>
    <rPh sb="0" eb="2">
      <t>ブヒン</t>
    </rPh>
    <phoneticPr fontId="1"/>
  </si>
  <si>
    <t>九州電機</t>
    <rPh sb="0" eb="2">
      <t>キュウシュウ</t>
    </rPh>
    <rPh sb="2" eb="4">
      <t>デンキ</t>
    </rPh>
    <phoneticPr fontId="1"/>
  </si>
  <si>
    <t>北陸製作</t>
    <rPh sb="0" eb="2">
      <t>ホクリク</t>
    </rPh>
    <rPh sb="2" eb="4">
      <t>セイサク</t>
    </rPh>
    <phoneticPr fontId="1"/>
  </si>
  <si>
    <t>中山金属</t>
    <rPh sb="0" eb="2">
      <t>ナカヤマ</t>
    </rPh>
    <rPh sb="2" eb="4">
      <t>キンゾク</t>
    </rPh>
    <phoneticPr fontId="1"/>
  </si>
  <si>
    <t>シモヤマ</t>
    <phoneticPr fontId="1"/>
  </si>
  <si>
    <t>ＳＰ精密</t>
    <rPh sb="2" eb="4">
      <t>セイミツ</t>
    </rPh>
    <phoneticPr fontId="1"/>
  </si>
  <si>
    <t>大西　正明</t>
    <rPh sb="0" eb="2">
      <t>オオニシ</t>
    </rPh>
    <rPh sb="3" eb="5">
      <t>マサアキ</t>
    </rPh>
    <phoneticPr fontId="1"/>
  </si>
  <si>
    <t>南　真二郎</t>
    <rPh sb="0" eb="1">
      <t>ミナミ</t>
    </rPh>
    <rPh sb="2" eb="5">
      <t>シンジロウ</t>
    </rPh>
    <phoneticPr fontId="1"/>
  </si>
  <si>
    <t>長谷川　緑</t>
    <rPh sb="0" eb="3">
      <t>ハセガワ</t>
    </rPh>
    <rPh sb="4" eb="5">
      <t>ミドリ</t>
    </rPh>
    <phoneticPr fontId="1"/>
  </si>
  <si>
    <t>村山　花子</t>
    <rPh sb="0" eb="2">
      <t>ムラヤマ</t>
    </rPh>
    <rPh sb="3" eb="5">
      <t>ハナコ</t>
    </rPh>
    <phoneticPr fontId="1"/>
  </si>
  <si>
    <t>伝票番号</t>
    <rPh sb="0" eb="2">
      <t>デンピョウ</t>
    </rPh>
    <rPh sb="2" eb="4">
      <t>バンゴウ</t>
    </rPh>
    <phoneticPr fontId="1"/>
  </si>
  <si>
    <t>製造原価</t>
    <rPh sb="0" eb="2">
      <t>セイゾウ</t>
    </rPh>
    <rPh sb="2" eb="4">
      <t>ゲンカ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</si>
</sst>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7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11"/>
      <color rgb="FFFF0000"/>
      <name val="ＭＳ 明朝"/>
      <family val="2"/>
      <charset val="128"/>
    </font>
    <font>
      <sz val="11"/>
      <name val="ＭＳ 明朝"/>
      <family val="2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5" xfId="0" applyBorder="1">
      <alignment vertical="center"/>
    </xf>
    <xf numFmtId="3" fontId="0" fillId="0" borderId="6" xfId="0" applyNumberForma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3" fontId="0" fillId="0" borderId="8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3" fontId="0" fillId="0" borderId="9" xfId="0" applyNumberFormat="1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>
      <alignment vertical="center"/>
    </xf>
    <xf numFmtId="0" fontId="3" fillId="0" borderId="0" xfId="0" applyFont="1">
      <alignment vertical="center"/>
    </xf>
    <xf numFmtId="3" fontId="4" fillId="0" borderId="1" xfId="0" applyNumberFormat="1" applyFont="1" applyBorder="1">
      <alignment vertical="center"/>
    </xf>
    <xf numFmtId="3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4" fontId="0" fillId="0" borderId="5" xfId="0" applyNumberFormat="1" applyBorder="1">
      <alignment vertical="center"/>
    </xf>
    <xf numFmtId="0" fontId="4" fillId="0" borderId="1" xfId="0" applyFont="1" applyBorder="1">
      <alignment vertical="center"/>
    </xf>
    <xf numFmtId="14" fontId="0" fillId="0" borderId="7" xfId="0" applyNumberFormat="1" applyBorder="1">
      <alignment vertical="center"/>
    </xf>
    <xf numFmtId="0" fontId="0" fillId="0" borderId="8" xfId="0" applyBorder="1">
      <alignment vertical="center"/>
    </xf>
    <xf numFmtId="0" fontId="4" fillId="0" borderId="8" xfId="0" applyFont="1" applyBorder="1">
      <alignment vertical="center"/>
    </xf>
    <xf numFmtId="0" fontId="0" fillId="0" borderId="9" xfId="0" applyBorder="1">
      <alignment vertical="center"/>
    </xf>
    <xf numFmtId="0" fontId="0" fillId="0" borderId="3" xfId="0" applyBorder="1" applyAlignment="1">
      <alignment horizontal="center" vertical="center"/>
    </xf>
    <xf numFmtId="38" fontId="0" fillId="0" borderId="0" xfId="1" applyFont="1">
      <alignment vertical="center"/>
    </xf>
    <xf numFmtId="3" fontId="3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176" fontId="4" fillId="0" borderId="1" xfId="1" applyNumberFormat="1" applyFont="1" applyBorder="1">
      <alignment vertical="center"/>
    </xf>
    <xf numFmtId="9" fontId="4" fillId="0" borderId="1" xfId="2" applyFont="1" applyBorder="1">
      <alignment vertical="center"/>
    </xf>
    <xf numFmtId="3" fontId="4" fillId="0" borderId="8" xfId="0" applyNumberFormat="1" applyFont="1" applyBorder="1">
      <alignment vertical="center"/>
    </xf>
    <xf numFmtId="38" fontId="0" fillId="0" borderId="5" xfId="1" applyFont="1" applyFill="1" applyBorder="1">
      <alignment vertical="center"/>
    </xf>
    <xf numFmtId="38" fontId="0" fillId="0" borderId="7" xfId="1" applyFont="1" applyFill="1" applyBorder="1">
      <alignment vertical="center"/>
    </xf>
    <xf numFmtId="0" fontId="6" fillId="0" borderId="0" xfId="0" applyFont="1">
      <alignment vertical="center"/>
    </xf>
    <xf numFmtId="176" fontId="4" fillId="0" borderId="0" xfId="1" applyNumberFormat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/>
              <a:t>納品先別の比較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計算表!$O$2</c:f>
              <c:strCache>
                <c:ptCount val="1"/>
                <c:pt idx="0">
                  <c:v>請求額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計算表!$K$3:$K$7</c:f>
              <c:strCache>
                <c:ptCount val="5"/>
                <c:pt idx="0">
                  <c:v>ＳＰ精密</c:v>
                </c:pt>
                <c:pt idx="1">
                  <c:v>シモヤマ</c:v>
                </c:pt>
                <c:pt idx="2">
                  <c:v>中山金属</c:v>
                </c:pt>
                <c:pt idx="3">
                  <c:v>北陸製作</c:v>
                </c:pt>
                <c:pt idx="4">
                  <c:v>九州電機</c:v>
                </c:pt>
              </c:strCache>
            </c:strRef>
          </c:cat>
          <c:val>
            <c:numRef>
              <c:f>計算表!$O$3:$O$7</c:f>
              <c:numCache>
                <c:formatCode>#,##0</c:formatCode>
                <c:ptCount val="5"/>
                <c:pt idx="0">
                  <c:v>1656375</c:v>
                </c:pt>
                <c:pt idx="1">
                  <c:v>1425128</c:v>
                </c:pt>
                <c:pt idx="2">
                  <c:v>1310984</c:v>
                </c:pt>
                <c:pt idx="3">
                  <c:v>1073077</c:v>
                </c:pt>
                <c:pt idx="4">
                  <c:v>861883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EE-483E-B89A-DEEA44410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9055920"/>
        <c:axId val="639055592"/>
      </c:barChart>
      <c:lineChart>
        <c:grouping val="standard"/>
        <c:varyColors val="0"/>
        <c:ser>
          <c:idx val="0"/>
          <c:order val="0"/>
          <c:tx>
            <c:strRef>
              <c:f>計算表!$L$2</c:f>
              <c:strCache>
                <c:ptCount val="1"/>
                <c:pt idx="0">
                  <c:v>納品数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計算表!$K$3:$K$7</c:f>
              <c:strCache>
                <c:ptCount val="5"/>
                <c:pt idx="0">
                  <c:v>ＳＰ精密</c:v>
                </c:pt>
                <c:pt idx="1">
                  <c:v>シモヤマ</c:v>
                </c:pt>
                <c:pt idx="2">
                  <c:v>中山金属</c:v>
                </c:pt>
                <c:pt idx="3">
                  <c:v>北陸製作</c:v>
                </c:pt>
                <c:pt idx="4">
                  <c:v>九州電機</c:v>
                </c:pt>
              </c:strCache>
            </c:strRef>
          </c:cat>
          <c:val>
            <c:numRef>
              <c:f>計算表!$L$3:$L$7</c:f>
              <c:numCache>
                <c:formatCode>#,##0</c:formatCode>
                <c:ptCount val="5"/>
                <c:pt idx="0">
                  <c:v>6783</c:v>
                </c:pt>
                <c:pt idx="1">
                  <c:v>6003</c:v>
                </c:pt>
                <c:pt idx="2">
                  <c:v>5378</c:v>
                </c:pt>
                <c:pt idx="3">
                  <c:v>4160</c:v>
                </c:pt>
                <c:pt idx="4">
                  <c:v>3930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EE-483E-B89A-DEEA44410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385352"/>
        <c:axId val="464387976"/>
      </c:lineChart>
      <c:catAx>
        <c:axId val="46438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7976"/>
        <c:crosses val="autoZero"/>
        <c:auto val="1"/>
        <c:lblAlgn val="ctr"/>
        <c:lblOffset val="100"/>
        <c:noMultiLvlLbl val="0"/>
      </c:catAx>
      <c:valAx>
        <c:axId val="46438797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5352"/>
        <c:crosses val="autoZero"/>
        <c:crossBetween val="between"/>
      </c:valAx>
      <c:valAx>
        <c:axId val="639055592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639055920"/>
        <c:crosses val="max"/>
        <c:crossBetween val="between"/>
      </c:valAx>
      <c:catAx>
        <c:axId val="6390559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39055592"/>
        <c:crosses val="autoZero"/>
        <c:auto val="1"/>
        <c:lblAlgn val="ctr"/>
        <c:lblOffset val="100"/>
        <c:noMultiLvlLbl val="0"/>
      </c:catAx>
      <c:spPr>
        <a:solidFill>
          <a:schemeClr val="lt1"/>
        </a:solidFill>
        <a:ln>
          <a:solidFill>
            <a:schemeClr val="dk1"/>
          </a:solidFill>
        </a:ln>
        <a:effectLst/>
      </c:spPr>
    </c:plotArea>
    <c:legend>
      <c:legendPos val="r"/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14</xdr:row>
      <xdr:rowOff>166687</xdr:rowOff>
    </xdr:from>
    <xdr:to>
      <xdr:col>16</xdr:col>
      <xdr:colOff>333375</xdr:colOff>
      <xdr:row>31</xdr:row>
      <xdr:rowOff>123825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C3E49455-A113-4F0C-A5E4-6A0FE7F7DD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"/>
  <sheetViews>
    <sheetView tabSelected="1" zoomScaleNormal="100" workbookViewId="0"/>
  </sheetViews>
  <sheetFormatPr defaultRowHeight="13.5"/>
  <cols>
    <col min="1" max="1" width="5.5" bestFit="1" customWidth="1"/>
    <col min="2" max="4" width="7.5" bestFit="1" customWidth="1"/>
    <col min="5" max="5" width="5.625" customWidth="1"/>
    <col min="6" max="6" width="7.5" customWidth="1"/>
    <col min="7" max="7" width="7.5" bestFit="1" customWidth="1"/>
    <col min="8" max="8" width="9.5" bestFit="1" customWidth="1"/>
    <col min="9" max="9" width="5.625" customWidth="1"/>
    <col min="10" max="10" width="7.5" customWidth="1"/>
    <col min="11" max="11" width="9.375" customWidth="1"/>
    <col min="12" max="12" width="5.625" customWidth="1"/>
    <col min="13" max="13" width="7.5" bestFit="1" customWidth="1"/>
    <col min="14" max="14" width="11.625" bestFit="1" customWidth="1"/>
    <col min="15" max="15" width="5.625" customWidth="1"/>
    <col min="16" max="16" width="7.5" customWidth="1"/>
    <col min="17" max="17" width="9.5" bestFit="1" customWidth="1"/>
    <col min="18" max="18" width="5.625" customWidth="1"/>
    <col min="19" max="21" width="7.5" bestFit="1" customWidth="1"/>
  </cols>
  <sheetData>
    <row r="1" spans="1:17">
      <c r="A1" t="s">
        <v>25</v>
      </c>
      <c r="F1" t="s">
        <v>21</v>
      </c>
      <c r="J1" t="s">
        <v>35</v>
      </c>
      <c r="M1" t="s">
        <v>20</v>
      </c>
      <c r="P1" t="s">
        <v>22</v>
      </c>
    </row>
    <row r="2" spans="1:17">
      <c r="A2" s="1" t="s">
        <v>24</v>
      </c>
      <c r="B2" s="51" t="s">
        <v>37</v>
      </c>
      <c r="C2" s="51" t="s">
        <v>38</v>
      </c>
      <c r="D2" s="51" t="s">
        <v>39</v>
      </c>
      <c r="E2" s="20"/>
      <c r="F2" s="1" t="s">
        <v>10</v>
      </c>
      <c r="G2" s="1" t="s">
        <v>12</v>
      </c>
      <c r="H2" s="1" t="s">
        <v>53</v>
      </c>
      <c r="I2" s="20"/>
      <c r="J2" s="1" t="s">
        <v>26</v>
      </c>
      <c r="K2" s="1" t="s">
        <v>34</v>
      </c>
      <c r="M2" s="1" t="s">
        <v>23</v>
      </c>
      <c r="N2" s="1" t="s">
        <v>15</v>
      </c>
      <c r="P2" s="1" t="s">
        <v>11</v>
      </c>
      <c r="Q2" s="1" t="s">
        <v>13</v>
      </c>
    </row>
    <row r="3" spans="1:17">
      <c r="A3" s="2" t="s">
        <v>4</v>
      </c>
      <c r="B3" s="40">
        <v>41.800000000000004</v>
      </c>
      <c r="C3" s="40">
        <v>29.1</v>
      </c>
      <c r="D3" s="40">
        <v>32.700000000000003</v>
      </c>
      <c r="E3" s="45"/>
      <c r="F3" s="2">
        <v>1001</v>
      </c>
      <c r="G3" s="39" t="s">
        <v>37</v>
      </c>
      <c r="H3" s="39">
        <v>194</v>
      </c>
      <c r="J3" s="18">
        <v>1</v>
      </c>
      <c r="K3" s="41">
        <v>1.38</v>
      </c>
      <c r="M3" s="2" t="s">
        <v>1</v>
      </c>
      <c r="N3" s="2" t="s">
        <v>48</v>
      </c>
      <c r="P3" s="2">
        <v>11</v>
      </c>
      <c r="Q3" s="39" t="s">
        <v>43</v>
      </c>
    </row>
    <row r="4" spans="1:17">
      <c r="A4" s="2" t="s">
        <v>5</v>
      </c>
      <c r="B4" s="40">
        <v>40.4</v>
      </c>
      <c r="C4" s="40">
        <v>27.8</v>
      </c>
      <c r="D4" s="40">
        <v>31.5</v>
      </c>
      <c r="E4" s="46"/>
      <c r="F4" s="2">
        <v>1002</v>
      </c>
      <c r="G4" s="39" t="s">
        <v>38</v>
      </c>
      <c r="H4" s="39">
        <v>142</v>
      </c>
      <c r="J4" s="18">
        <v>700</v>
      </c>
      <c r="K4" s="41">
        <v>1.35</v>
      </c>
      <c r="M4" s="2" t="s">
        <v>18</v>
      </c>
      <c r="N4" s="2" t="s">
        <v>50</v>
      </c>
      <c r="P4" s="2">
        <v>12</v>
      </c>
      <c r="Q4" s="39" t="s">
        <v>45</v>
      </c>
    </row>
    <row r="5" spans="1:17">
      <c r="A5" s="2" t="s">
        <v>6</v>
      </c>
      <c r="B5" s="40">
        <v>39.200000000000003</v>
      </c>
      <c r="C5" s="40">
        <v>26.900000000000002</v>
      </c>
      <c r="D5" s="40">
        <v>30.6</v>
      </c>
      <c r="E5" s="46"/>
      <c r="F5" s="2">
        <v>1003</v>
      </c>
      <c r="G5" s="39" t="s">
        <v>39</v>
      </c>
      <c r="H5" s="39">
        <v>167</v>
      </c>
      <c r="J5" s="18">
        <v>900</v>
      </c>
      <c r="K5" s="41">
        <v>1.32</v>
      </c>
      <c r="M5" s="2" t="s">
        <v>19</v>
      </c>
      <c r="N5" s="2" t="s">
        <v>49</v>
      </c>
      <c r="P5" s="2">
        <v>13</v>
      </c>
      <c r="Q5" s="39" t="s">
        <v>46</v>
      </c>
    </row>
    <row r="6" spans="1:17">
      <c r="E6" s="46"/>
      <c r="J6" s="46"/>
      <c r="K6" s="46"/>
      <c r="M6" s="2" t="s">
        <v>2</v>
      </c>
      <c r="N6" s="2" t="s">
        <v>51</v>
      </c>
      <c r="P6" s="2">
        <v>14</v>
      </c>
      <c r="Q6" s="39" t="s">
        <v>44</v>
      </c>
    </row>
    <row r="7" spans="1:17">
      <c r="P7" s="2">
        <v>15</v>
      </c>
      <c r="Q7" s="39" t="s">
        <v>47</v>
      </c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FB47C-BE98-4589-954A-CA984A13C089}">
  <dimension ref="A1:D28"/>
  <sheetViews>
    <sheetView workbookViewId="0"/>
  </sheetViews>
  <sheetFormatPr defaultRowHeight="13.5"/>
  <cols>
    <col min="1" max="1" width="10.5" bestFit="1" customWidth="1"/>
    <col min="2" max="3" width="7.5" bestFit="1" customWidth="1"/>
    <col min="4" max="4" width="11.625" bestFit="1" customWidth="1"/>
  </cols>
  <sheetData>
    <row r="1" spans="1:4">
      <c r="A1" s="22" t="s">
        <v>28</v>
      </c>
      <c r="B1" s="35" t="s">
        <v>27</v>
      </c>
      <c r="C1" s="35" t="s">
        <v>30</v>
      </c>
      <c r="D1" s="21" t="s">
        <v>31</v>
      </c>
    </row>
    <row r="2" spans="1:4">
      <c r="A2" s="29">
        <v>45170</v>
      </c>
      <c r="B2" s="2" t="s">
        <v>1</v>
      </c>
      <c r="C2" s="2">
        <v>357</v>
      </c>
      <c r="D2" s="47">
        <f>ROUNDUP(VLOOKUP(RIGHT(B2,1),テーブル!$A$3:$D$5,2,0)*C2,0)</f>
        <v>13995</v>
      </c>
    </row>
    <row r="3" spans="1:4">
      <c r="A3" s="29">
        <v>45171</v>
      </c>
      <c r="B3" s="2" t="s">
        <v>1</v>
      </c>
      <c r="C3" s="2">
        <v>295</v>
      </c>
      <c r="D3" s="47">
        <f>ROUNDUP(VLOOKUP(RIGHT(B3,1),テーブル!$A$3:$D$5,2,0)*C3,0)</f>
        <v>11564</v>
      </c>
    </row>
    <row r="4" spans="1:4">
      <c r="A4" s="29">
        <v>45172</v>
      </c>
      <c r="B4" s="2" t="s">
        <v>1</v>
      </c>
      <c r="C4" s="2">
        <v>304</v>
      </c>
      <c r="D4" s="47">
        <f>ROUNDUP(VLOOKUP(RIGHT(B4,1),テーブル!$A$3:$D$5,2,0)*C4,0)</f>
        <v>11917</v>
      </c>
    </row>
    <row r="5" spans="1:4">
      <c r="A5" s="29">
        <v>45172</v>
      </c>
      <c r="B5" s="2" t="s">
        <v>2</v>
      </c>
      <c r="C5" s="2">
        <v>317</v>
      </c>
      <c r="D5" s="47">
        <f>ROUNDUP(VLOOKUP(RIGHT(B5,1),テーブル!$A$3:$D$5,2,0)*C5,0)</f>
        <v>12427</v>
      </c>
    </row>
    <row r="6" spans="1:4">
      <c r="A6" s="29">
        <v>45175</v>
      </c>
      <c r="B6" s="2" t="s">
        <v>2</v>
      </c>
      <c r="C6" s="2">
        <v>315</v>
      </c>
      <c r="D6" s="47">
        <f>ROUNDUP(VLOOKUP(RIGHT(B6,1),テーブル!$A$3:$D$5,2,0)*C6,0)</f>
        <v>12348</v>
      </c>
    </row>
    <row r="7" spans="1:4">
      <c r="A7" s="29">
        <v>45176</v>
      </c>
      <c r="B7" s="2" t="s">
        <v>2</v>
      </c>
      <c r="C7" s="2">
        <v>311</v>
      </c>
      <c r="D7" s="47">
        <f>ROUNDUP(VLOOKUP(RIGHT(B7,1),テーブル!$A$3:$D$5,2,0)*C7,0)</f>
        <v>12192</v>
      </c>
    </row>
    <row r="8" spans="1:4">
      <c r="A8" s="29">
        <v>45177</v>
      </c>
      <c r="B8" s="2" t="s">
        <v>2</v>
      </c>
      <c r="C8" s="2">
        <v>335</v>
      </c>
      <c r="D8" s="47">
        <f>ROUNDUP(VLOOKUP(RIGHT(B8,1),テーブル!$A$3:$D$5,2,0)*C8,0)</f>
        <v>13132</v>
      </c>
    </row>
    <row r="9" spans="1:4">
      <c r="A9" s="29">
        <v>45178</v>
      </c>
      <c r="B9" s="2" t="s">
        <v>2</v>
      </c>
      <c r="C9" s="2">
        <v>332</v>
      </c>
      <c r="D9" s="47">
        <f>ROUNDUP(VLOOKUP(RIGHT(B9,1),テーブル!$A$3:$D$5,2,0)*C9,0)</f>
        <v>13015</v>
      </c>
    </row>
    <row r="10" spans="1:4">
      <c r="A10" s="29">
        <v>45179</v>
      </c>
      <c r="B10" s="2" t="s">
        <v>2</v>
      </c>
      <c r="C10" s="2">
        <v>316</v>
      </c>
      <c r="D10" s="47">
        <f>ROUNDUP(VLOOKUP(RIGHT(B10,1),テーブル!$A$3:$D$5,2,0)*C10,0)</f>
        <v>12388</v>
      </c>
    </row>
    <row r="11" spans="1:4">
      <c r="A11" s="29">
        <v>45182</v>
      </c>
      <c r="B11" s="2" t="s">
        <v>1</v>
      </c>
      <c r="C11" s="2">
        <v>358</v>
      </c>
      <c r="D11" s="47">
        <f>ROUNDUP(VLOOKUP(RIGHT(B11,1),テーブル!$A$3:$D$5,2,0)*C11,0)</f>
        <v>14034</v>
      </c>
    </row>
    <row r="12" spans="1:4">
      <c r="A12" s="29">
        <v>45182</v>
      </c>
      <c r="B12" s="2" t="s">
        <v>19</v>
      </c>
      <c r="C12" s="2">
        <v>295</v>
      </c>
      <c r="D12" s="47">
        <f>ROUNDUP(VLOOKUP(RIGHT(B12,1),テーブル!$A$3:$D$5,2,0)*C12,0)</f>
        <v>12331</v>
      </c>
    </row>
    <row r="13" spans="1:4">
      <c r="A13" s="29">
        <v>45183</v>
      </c>
      <c r="B13" s="2" t="s">
        <v>1</v>
      </c>
      <c r="C13" s="2">
        <v>328</v>
      </c>
      <c r="D13" s="47">
        <f>ROUNDUP(VLOOKUP(RIGHT(B13,1),テーブル!$A$3:$D$5,2,0)*C13,0)</f>
        <v>12858</v>
      </c>
    </row>
    <row r="14" spans="1:4">
      <c r="A14" s="29">
        <v>45183</v>
      </c>
      <c r="B14" s="2" t="s">
        <v>19</v>
      </c>
      <c r="C14" s="2">
        <v>310</v>
      </c>
      <c r="D14" s="47">
        <f>ROUNDUP(VLOOKUP(RIGHT(B14,1),テーブル!$A$3:$D$5,2,0)*C14,0)</f>
        <v>12958</v>
      </c>
    </row>
    <row r="15" spans="1:4">
      <c r="A15" s="29">
        <v>45184</v>
      </c>
      <c r="B15" s="2" t="s">
        <v>1</v>
      </c>
      <c r="C15" s="2">
        <v>357</v>
      </c>
      <c r="D15" s="47">
        <f>ROUNDUP(VLOOKUP(RIGHT(B15,1),テーブル!$A$3:$D$5,2,0)*C15,0)</f>
        <v>13995</v>
      </c>
    </row>
    <row r="16" spans="1:4">
      <c r="A16" s="29">
        <v>45184</v>
      </c>
      <c r="B16" s="2" t="s">
        <v>19</v>
      </c>
      <c r="C16" s="2">
        <v>289</v>
      </c>
      <c r="D16" s="47">
        <f>ROUNDUP(VLOOKUP(RIGHT(B16,1),テーブル!$A$3:$D$5,2,0)*C16,0)</f>
        <v>12081</v>
      </c>
    </row>
    <row r="17" spans="1:4">
      <c r="A17" s="29">
        <v>45185</v>
      </c>
      <c r="B17" s="2" t="s">
        <v>19</v>
      </c>
      <c r="C17" s="2">
        <v>299</v>
      </c>
      <c r="D17" s="47">
        <f>ROUNDUP(VLOOKUP(RIGHT(B17,1),テーブル!$A$3:$D$5,2,0)*C17,0)</f>
        <v>12499</v>
      </c>
    </row>
    <row r="18" spans="1:4">
      <c r="A18" s="29">
        <v>45186</v>
      </c>
      <c r="B18" s="2" t="s">
        <v>1</v>
      </c>
      <c r="C18" s="2">
        <v>345</v>
      </c>
      <c r="D18" s="47">
        <f>ROUNDUP(VLOOKUP(RIGHT(B18,1),テーブル!$A$3:$D$5,2,0)*C18,0)</f>
        <v>13524</v>
      </c>
    </row>
    <row r="19" spans="1:4">
      <c r="A19" s="29">
        <v>45186</v>
      </c>
      <c r="B19" s="2" t="s">
        <v>19</v>
      </c>
      <c r="C19" s="2">
        <v>320</v>
      </c>
      <c r="D19" s="47">
        <f>ROUNDUP(VLOOKUP(RIGHT(B19,1),テーブル!$A$3:$D$5,2,0)*C19,0)</f>
        <v>13376</v>
      </c>
    </row>
    <row r="20" spans="1:4">
      <c r="A20" s="29">
        <v>45190</v>
      </c>
      <c r="B20" s="2" t="s">
        <v>2</v>
      </c>
      <c r="C20" s="2">
        <v>328</v>
      </c>
      <c r="D20" s="47">
        <f>ROUNDUP(VLOOKUP(RIGHT(B20,1),テーブル!$A$3:$D$5,2,0)*C20,0)</f>
        <v>12858</v>
      </c>
    </row>
    <row r="21" spans="1:4">
      <c r="A21" s="29">
        <v>45191</v>
      </c>
      <c r="B21" s="2" t="s">
        <v>2</v>
      </c>
      <c r="C21" s="2">
        <v>304</v>
      </c>
      <c r="D21" s="47">
        <f>ROUNDUP(VLOOKUP(RIGHT(B21,1),テーブル!$A$3:$D$5,2,0)*C21,0)</f>
        <v>11917</v>
      </c>
    </row>
    <row r="22" spans="1:4">
      <c r="A22" s="29">
        <v>45193</v>
      </c>
      <c r="B22" s="2" t="s">
        <v>19</v>
      </c>
      <c r="C22" s="2">
        <v>326</v>
      </c>
      <c r="D22" s="47">
        <f>ROUNDUP(VLOOKUP(RIGHT(B22,1),テーブル!$A$3:$D$5,2,0)*C22,0)</f>
        <v>13627</v>
      </c>
    </row>
    <row r="23" spans="1:4">
      <c r="A23" s="29">
        <v>45193</v>
      </c>
      <c r="B23" s="2" t="s">
        <v>2</v>
      </c>
      <c r="C23" s="2">
        <v>348</v>
      </c>
      <c r="D23" s="47">
        <f>ROUNDUP(VLOOKUP(RIGHT(B23,1),テーブル!$A$3:$D$5,2,0)*C23,0)</f>
        <v>13642</v>
      </c>
    </row>
    <row r="24" spans="1:4">
      <c r="A24" s="29">
        <v>45196</v>
      </c>
      <c r="B24" s="2" t="s">
        <v>1</v>
      </c>
      <c r="C24" s="2">
        <v>365</v>
      </c>
      <c r="D24" s="47">
        <f>ROUNDUP(VLOOKUP(RIGHT(B24,1),テーブル!$A$3:$D$5,2,0)*C24,0)</f>
        <v>14308</v>
      </c>
    </row>
    <row r="25" spans="1:4">
      <c r="A25" s="29">
        <v>45197</v>
      </c>
      <c r="B25" s="2" t="s">
        <v>1</v>
      </c>
      <c r="C25" s="2">
        <v>331</v>
      </c>
      <c r="D25" s="47">
        <f>ROUNDUP(VLOOKUP(RIGHT(B25,1),テーブル!$A$3:$D$5,2,0)*C25,0)</f>
        <v>12976</v>
      </c>
    </row>
    <row r="26" spans="1:4">
      <c r="A26" s="29">
        <v>45198</v>
      </c>
      <c r="B26" s="2" t="s">
        <v>1</v>
      </c>
      <c r="C26" s="2">
        <v>346</v>
      </c>
      <c r="D26" s="47">
        <f>ROUNDUP(VLOOKUP(RIGHT(B26,1),テーブル!$A$3:$D$5,2,0)*C26,0)</f>
        <v>13564</v>
      </c>
    </row>
    <row r="27" spans="1:4" ht="14.25" thickBot="1">
      <c r="A27" s="31">
        <v>45199</v>
      </c>
      <c r="B27" s="32" t="s">
        <v>1</v>
      </c>
      <c r="C27" s="32">
        <v>335</v>
      </c>
      <c r="D27" s="48">
        <f>ROUNDUP(VLOOKUP(RIGHT(B27,1),テーブル!$A$3:$D$5,2,0)*C27,0)</f>
        <v>13132</v>
      </c>
    </row>
    <row r="28" spans="1:4">
      <c r="C28" s="19"/>
      <c r="D28" s="19"/>
    </row>
  </sheetData>
  <sortState xmlns:xlrd2="http://schemas.microsoft.com/office/spreadsheetml/2017/richdata2" ref="A2:C27">
    <sortCondition ref="A2:A27"/>
    <sortCondition ref="B2:B27"/>
  </sortState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B8D3D-1DFD-4A91-BB84-AF413758BF03}">
  <dimension ref="A1:D28"/>
  <sheetViews>
    <sheetView workbookViewId="0"/>
  </sheetViews>
  <sheetFormatPr defaultRowHeight="13.5"/>
  <cols>
    <col min="1" max="1" width="10.5" bestFit="1" customWidth="1"/>
    <col min="2" max="3" width="7.5" bestFit="1" customWidth="1"/>
    <col min="4" max="4" width="11.625" customWidth="1"/>
  </cols>
  <sheetData>
    <row r="1" spans="1:4">
      <c r="A1" s="22" t="s">
        <v>28</v>
      </c>
      <c r="B1" s="35" t="s">
        <v>27</v>
      </c>
      <c r="C1" s="35" t="s">
        <v>30</v>
      </c>
      <c r="D1" s="21" t="s">
        <v>31</v>
      </c>
    </row>
    <row r="2" spans="1:4">
      <c r="A2" s="29">
        <v>45170</v>
      </c>
      <c r="B2" s="2" t="s">
        <v>18</v>
      </c>
      <c r="C2" s="2">
        <v>297</v>
      </c>
      <c r="D2" s="47">
        <f>ROUNDUP(VLOOKUP(RIGHT(B2,1),テーブル!$A$3:$D$5,3,0)*C2,0)</f>
        <v>8257</v>
      </c>
    </row>
    <row r="3" spans="1:4">
      <c r="A3" s="29">
        <v>45171</v>
      </c>
      <c r="B3" s="2" t="s">
        <v>18</v>
      </c>
      <c r="C3" s="2">
        <v>311</v>
      </c>
      <c r="D3" s="47">
        <f>ROUNDUP(VLOOKUP(RIGHT(B3,1),テーブル!$A$3:$D$5,3,0)*C3,0)</f>
        <v>8646</v>
      </c>
    </row>
    <row r="4" spans="1:4">
      <c r="A4" s="29">
        <v>45172</v>
      </c>
      <c r="B4" s="2" t="s">
        <v>18</v>
      </c>
      <c r="C4" s="2">
        <v>305</v>
      </c>
      <c r="D4" s="47">
        <f>ROUNDUP(VLOOKUP(RIGHT(B4,1),テーブル!$A$3:$D$5,3,0)*C4,0)</f>
        <v>8479</v>
      </c>
    </row>
    <row r="5" spans="1:4">
      <c r="A5" s="29">
        <v>45175</v>
      </c>
      <c r="B5" s="2" t="s">
        <v>1</v>
      </c>
      <c r="C5" s="2">
        <v>368</v>
      </c>
      <c r="D5" s="47">
        <f>ROUNDUP(VLOOKUP(RIGHT(B5,1),テーブル!$A$3:$D$5,3,0)*C5,0)</f>
        <v>9900</v>
      </c>
    </row>
    <row r="6" spans="1:4">
      <c r="A6" s="29">
        <v>45175</v>
      </c>
      <c r="B6" s="2" t="s">
        <v>19</v>
      </c>
      <c r="C6" s="2">
        <v>453</v>
      </c>
      <c r="D6" s="47">
        <f>ROUNDUP(VLOOKUP(RIGHT(B6,1),テーブル!$A$3:$D$5,3,0)*C6,0)</f>
        <v>13183</v>
      </c>
    </row>
    <row r="7" spans="1:4">
      <c r="A7" s="29">
        <v>45176</v>
      </c>
      <c r="B7" s="2" t="s">
        <v>1</v>
      </c>
      <c r="C7" s="2">
        <v>364</v>
      </c>
      <c r="D7" s="47">
        <f>ROUNDUP(VLOOKUP(RIGHT(B7,1),テーブル!$A$3:$D$5,3,0)*C7,0)</f>
        <v>9792</v>
      </c>
    </row>
    <row r="8" spans="1:4">
      <c r="A8" s="29">
        <v>45176</v>
      </c>
      <c r="B8" s="2" t="s">
        <v>19</v>
      </c>
      <c r="C8" s="2">
        <v>427</v>
      </c>
      <c r="D8" s="47">
        <f>ROUNDUP(VLOOKUP(RIGHT(B8,1),テーブル!$A$3:$D$5,3,0)*C8,0)</f>
        <v>12426</v>
      </c>
    </row>
    <row r="9" spans="1:4">
      <c r="A9" s="29">
        <v>45177</v>
      </c>
      <c r="B9" s="2" t="s">
        <v>1</v>
      </c>
      <c r="C9" s="2">
        <v>354</v>
      </c>
      <c r="D9" s="47">
        <f>ROUNDUP(VLOOKUP(RIGHT(B9,1),テーブル!$A$3:$D$5,3,0)*C9,0)</f>
        <v>9523</v>
      </c>
    </row>
    <row r="10" spans="1:4">
      <c r="A10" s="29">
        <v>45177</v>
      </c>
      <c r="B10" s="2" t="s">
        <v>19</v>
      </c>
      <c r="C10" s="2">
        <v>431</v>
      </c>
      <c r="D10" s="47">
        <f>ROUNDUP(VLOOKUP(RIGHT(B10,1),テーブル!$A$3:$D$5,3,0)*C10,0)</f>
        <v>12543</v>
      </c>
    </row>
    <row r="11" spans="1:4">
      <c r="A11" s="29">
        <v>45178</v>
      </c>
      <c r="B11" s="2" t="s">
        <v>1</v>
      </c>
      <c r="C11" s="2">
        <v>353</v>
      </c>
      <c r="D11" s="47">
        <f>ROUNDUP(VLOOKUP(RIGHT(B11,1),テーブル!$A$3:$D$5,3,0)*C11,0)</f>
        <v>9496</v>
      </c>
    </row>
    <row r="12" spans="1:4">
      <c r="A12" s="29">
        <v>45178</v>
      </c>
      <c r="B12" s="2" t="s">
        <v>19</v>
      </c>
      <c r="C12" s="2">
        <v>419</v>
      </c>
      <c r="D12" s="47">
        <f>ROUNDUP(VLOOKUP(RIGHT(B12,1),テーブル!$A$3:$D$5,3,0)*C12,0)</f>
        <v>12193</v>
      </c>
    </row>
    <row r="13" spans="1:4">
      <c r="A13" s="29">
        <v>45179</v>
      </c>
      <c r="B13" s="2" t="s">
        <v>1</v>
      </c>
      <c r="C13" s="2">
        <v>368</v>
      </c>
      <c r="D13" s="47">
        <f>ROUNDUP(VLOOKUP(RIGHT(B13,1),テーブル!$A$3:$D$5,3,0)*C13,0)</f>
        <v>9900</v>
      </c>
    </row>
    <row r="14" spans="1:4">
      <c r="A14" s="29">
        <v>45179</v>
      </c>
      <c r="B14" s="2" t="s">
        <v>19</v>
      </c>
      <c r="C14" s="2">
        <v>415</v>
      </c>
      <c r="D14" s="47">
        <f>ROUNDUP(VLOOKUP(RIGHT(B14,1),テーブル!$A$3:$D$5,3,0)*C14,0)</f>
        <v>12077</v>
      </c>
    </row>
    <row r="15" spans="1:4">
      <c r="A15" s="29">
        <v>45182</v>
      </c>
      <c r="B15" s="2" t="s">
        <v>18</v>
      </c>
      <c r="C15" s="2">
        <v>345</v>
      </c>
      <c r="D15" s="47">
        <f>ROUNDUP(VLOOKUP(RIGHT(B15,1),テーブル!$A$3:$D$5,3,0)*C15,0)</f>
        <v>9591</v>
      </c>
    </row>
    <row r="16" spans="1:4">
      <c r="A16" s="29">
        <v>45183</v>
      </c>
      <c r="B16" s="2" t="s">
        <v>18</v>
      </c>
      <c r="C16" s="2">
        <v>287</v>
      </c>
      <c r="D16" s="47">
        <f>ROUNDUP(VLOOKUP(RIGHT(B16,1),テーブル!$A$3:$D$5,3,0)*C16,0)</f>
        <v>7979</v>
      </c>
    </row>
    <row r="17" spans="1:4">
      <c r="A17" s="29">
        <v>45184</v>
      </c>
      <c r="B17" s="2" t="s">
        <v>18</v>
      </c>
      <c r="C17" s="2">
        <v>368</v>
      </c>
      <c r="D17" s="47">
        <f>ROUNDUP(VLOOKUP(RIGHT(B17,1),テーブル!$A$3:$D$5,3,0)*C17,0)</f>
        <v>10231</v>
      </c>
    </row>
    <row r="18" spans="1:4">
      <c r="A18" s="29">
        <v>45185</v>
      </c>
      <c r="B18" s="2" t="s">
        <v>18</v>
      </c>
      <c r="C18" s="2">
        <v>340</v>
      </c>
      <c r="D18" s="47">
        <f>ROUNDUP(VLOOKUP(RIGHT(B18,1),テーブル!$A$3:$D$5,3,0)*C18,0)</f>
        <v>9452</v>
      </c>
    </row>
    <row r="19" spans="1:4">
      <c r="A19" s="29">
        <v>45186</v>
      </c>
      <c r="B19" s="2" t="s">
        <v>18</v>
      </c>
      <c r="C19" s="2">
        <v>301</v>
      </c>
      <c r="D19" s="47">
        <f>ROUNDUP(VLOOKUP(RIGHT(B19,1),テーブル!$A$3:$D$5,3,0)*C19,0)</f>
        <v>8368</v>
      </c>
    </row>
    <row r="20" spans="1:4">
      <c r="A20" s="29">
        <v>45190</v>
      </c>
      <c r="B20" s="2" t="s">
        <v>1</v>
      </c>
      <c r="C20" s="2">
        <v>367</v>
      </c>
      <c r="D20" s="47">
        <f>ROUNDUP(VLOOKUP(RIGHT(B20,1),テーブル!$A$3:$D$5,3,0)*C20,0)</f>
        <v>9873</v>
      </c>
    </row>
    <row r="21" spans="1:4">
      <c r="A21" s="29">
        <v>45191</v>
      </c>
      <c r="B21" s="2" t="s">
        <v>1</v>
      </c>
      <c r="C21" s="2">
        <v>361</v>
      </c>
      <c r="D21" s="47">
        <f>ROUNDUP(VLOOKUP(RIGHT(B21,1),テーブル!$A$3:$D$5,3,0)*C21,0)</f>
        <v>9711</v>
      </c>
    </row>
    <row r="22" spans="1:4">
      <c r="A22" s="29">
        <v>45191</v>
      </c>
      <c r="B22" s="2" t="s">
        <v>19</v>
      </c>
      <c r="C22" s="2">
        <v>447</v>
      </c>
      <c r="D22" s="47">
        <f>ROUNDUP(VLOOKUP(RIGHT(B22,1),テーブル!$A$3:$D$5,3,0)*C22,0)</f>
        <v>13008</v>
      </c>
    </row>
    <row r="23" spans="1:4">
      <c r="A23" s="29">
        <v>45193</v>
      </c>
      <c r="B23" s="2" t="s">
        <v>1</v>
      </c>
      <c r="C23" s="2">
        <v>412</v>
      </c>
      <c r="D23" s="47">
        <f>ROUNDUP(VLOOKUP(RIGHT(B23,1),テーブル!$A$3:$D$5,3,0)*C23,0)</f>
        <v>11083</v>
      </c>
    </row>
    <row r="24" spans="1:4">
      <c r="A24" s="29">
        <v>45197</v>
      </c>
      <c r="B24" s="2" t="s">
        <v>18</v>
      </c>
      <c r="C24" s="2">
        <v>335</v>
      </c>
      <c r="D24" s="47">
        <f>ROUNDUP(VLOOKUP(RIGHT(B24,1),テーブル!$A$3:$D$5,3,0)*C24,0)</f>
        <v>9313</v>
      </c>
    </row>
    <row r="25" spans="1:4">
      <c r="A25" s="29">
        <v>45198</v>
      </c>
      <c r="B25" s="2" t="s">
        <v>18</v>
      </c>
      <c r="C25" s="2">
        <v>330</v>
      </c>
      <c r="D25" s="47">
        <f>ROUNDUP(VLOOKUP(RIGHT(B25,1),テーブル!$A$3:$D$5,3,0)*C25,0)</f>
        <v>9174</v>
      </c>
    </row>
    <row r="26" spans="1:4">
      <c r="A26" s="29">
        <v>45198</v>
      </c>
      <c r="B26" s="2" t="s">
        <v>19</v>
      </c>
      <c r="C26" s="2">
        <v>509</v>
      </c>
      <c r="D26" s="47">
        <f>ROUNDUP(VLOOKUP(RIGHT(B26,1),テーブル!$A$3:$D$5,3,0)*C26,0)</f>
        <v>14812</v>
      </c>
    </row>
    <row r="27" spans="1:4" ht="14.25" thickBot="1">
      <c r="A27" s="31">
        <v>45199</v>
      </c>
      <c r="B27" s="32" t="s">
        <v>18</v>
      </c>
      <c r="C27" s="32">
        <v>300</v>
      </c>
      <c r="D27" s="48">
        <f>ROUNDUP(VLOOKUP(RIGHT(B27,1),テーブル!$A$3:$D$5,3,0)*C27,0)</f>
        <v>8340</v>
      </c>
    </row>
    <row r="28" spans="1:4">
      <c r="C28" s="19"/>
      <c r="D28" s="19"/>
    </row>
  </sheetData>
  <sortState xmlns:xlrd2="http://schemas.microsoft.com/office/spreadsheetml/2017/richdata2" ref="A2:C27">
    <sortCondition ref="A2:A27"/>
    <sortCondition ref="B2:B27"/>
  </sortState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F7AD1-66B2-4E29-A61B-7C56B9E6C03F}">
  <dimension ref="A1:H32"/>
  <sheetViews>
    <sheetView workbookViewId="0"/>
  </sheetViews>
  <sheetFormatPr defaultRowHeight="13.5"/>
  <cols>
    <col min="1" max="1" width="10.5" bestFit="1" customWidth="1"/>
    <col min="2" max="3" width="7.5" bestFit="1" customWidth="1"/>
    <col min="4" max="4" width="11.625" bestFit="1" customWidth="1"/>
  </cols>
  <sheetData>
    <row r="1" spans="1:4">
      <c r="A1" s="22" t="s">
        <v>28</v>
      </c>
      <c r="B1" s="35" t="s">
        <v>27</v>
      </c>
      <c r="C1" s="35" t="s">
        <v>30</v>
      </c>
      <c r="D1" s="21" t="s">
        <v>31</v>
      </c>
    </row>
    <row r="2" spans="1:4">
      <c r="A2" s="29">
        <v>45170</v>
      </c>
      <c r="B2" s="2" t="s">
        <v>19</v>
      </c>
      <c r="C2" s="2">
        <v>410</v>
      </c>
      <c r="D2" s="47">
        <f>ROUNDUP(VLOOKUP(RIGHT(B2,1),テーブル!$A$3:$D$5,4,0)*C2,0)</f>
        <v>13407</v>
      </c>
    </row>
    <row r="3" spans="1:4">
      <c r="A3" s="29">
        <v>45170</v>
      </c>
      <c r="B3" s="2" t="s">
        <v>2</v>
      </c>
      <c r="C3" s="2">
        <v>228</v>
      </c>
      <c r="D3" s="47">
        <f>ROUNDUP(VLOOKUP(RIGHT(B3,1),テーブル!$A$3:$D$5,4,0)*C3,0)</f>
        <v>6977</v>
      </c>
    </row>
    <row r="4" spans="1:4">
      <c r="A4" s="29">
        <v>45171</v>
      </c>
      <c r="B4" s="2" t="s">
        <v>19</v>
      </c>
      <c r="C4" s="2">
        <v>435</v>
      </c>
      <c r="D4" s="47">
        <f>ROUNDUP(VLOOKUP(RIGHT(B4,1),テーブル!$A$3:$D$5,4,0)*C4,0)</f>
        <v>14225</v>
      </c>
    </row>
    <row r="5" spans="1:4">
      <c r="A5" s="29">
        <v>45171</v>
      </c>
      <c r="B5" s="2" t="s">
        <v>2</v>
      </c>
      <c r="C5" s="2">
        <v>225</v>
      </c>
      <c r="D5" s="47">
        <f>ROUNDUP(VLOOKUP(RIGHT(B5,1),テーブル!$A$3:$D$5,4,0)*C5,0)</f>
        <v>6885</v>
      </c>
    </row>
    <row r="6" spans="1:4">
      <c r="A6" s="29">
        <v>45172</v>
      </c>
      <c r="B6" s="2" t="s">
        <v>19</v>
      </c>
      <c r="C6" s="2">
        <v>416</v>
      </c>
      <c r="D6" s="47">
        <f>ROUNDUP(VLOOKUP(RIGHT(B6,1),テーブル!$A$3:$D$5,4,0)*C6,0)</f>
        <v>13604</v>
      </c>
    </row>
    <row r="7" spans="1:4">
      <c r="A7" s="29">
        <v>45172</v>
      </c>
      <c r="B7" s="2" t="s">
        <v>2</v>
      </c>
      <c r="C7" s="2">
        <v>271</v>
      </c>
      <c r="D7" s="47">
        <f>ROUNDUP(VLOOKUP(RIGHT(B7,1),テーブル!$A$3:$D$5,4,0)*C7,0)</f>
        <v>8293</v>
      </c>
    </row>
    <row r="8" spans="1:4">
      <c r="A8" s="29">
        <v>45175</v>
      </c>
      <c r="B8" s="2" t="s">
        <v>18</v>
      </c>
      <c r="C8" s="2">
        <v>430</v>
      </c>
      <c r="D8" s="47">
        <f>ROUNDUP(VLOOKUP(RIGHT(B8,1),テーブル!$A$3:$D$5,4,0)*C8,0)</f>
        <v>13545</v>
      </c>
    </row>
    <row r="9" spans="1:4">
      <c r="A9" s="29">
        <v>45176</v>
      </c>
      <c r="B9" s="2" t="s">
        <v>18</v>
      </c>
      <c r="C9" s="2">
        <v>408</v>
      </c>
      <c r="D9" s="47">
        <f>ROUNDUP(VLOOKUP(RIGHT(B9,1),テーブル!$A$3:$D$5,4,0)*C9,0)</f>
        <v>12852</v>
      </c>
    </row>
    <row r="10" spans="1:4">
      <c r="A10" s="29">
        <v>45177</v>
      </c>
      <c r="B10" s="2" t="s">
        <v>18</v>
      </c>
      <c r="C10" s="2">
        <v>351</v>
      </c>
      <c r="D10" s="47">
        <f>ROUNDUP(VLOOKUP(RIGHT(B10,1),テーブル!$A$3:$D$5,4,0)*C10,0)</f>
        <v>11057</v>
      </c>
    </row>
    <row r="11" spans="1:4">
      <c r="A11" s="29">
        <v>45178</v>
      </c>
      <c r="B11" s="2" t="s">
        <v>18</v>
      </c>
      <c r="C11" s="2">
        <v>362</v>
      </c>
      <c r="D11" s="47">
        <f>ROUNDUP(VLOOKUP(RIGHT(B11,1),テーブル!$A$3:$D$5,4,0)*C11,0)</f>
        <v>11403</v>
      </c>
    </row>
    <row r="12" spans="1:4">
      <c r="A12" s="29">
        <v>45179</v>
      </c>
      <c r="B12" s="2" t="s">
        <v>18</v>
      </c>
      <c r="C12" s="2">
        <v>409</v>
      </c>
      <c r="D12" s="47">
        <f>ROUNDUP(VLOOKUP(RIGHT(B12,1),テーブル!$A$3:$D$5,4,0)*C12,0)</f>
        <v>12884</v>
      </c>
    </row>
    <row r="13" spans="1:4">
      <c r="A13" s="29">
        <v>45182</v>
      </c>
      <c r="B13" s="2" t="s">
        <v>2</v>
      </c>
      <c r="C13" s="2">
        <v>274</v>
      </c>
      <c r="D13" s="47">
        <f>ROUNDUP(VLOOKUP(RIGHT(B13,1),テーブル!$A$3:$D$5,4,0)*C13,0)</f>
        <v>8385</v>
      </c>
    </row>
    <row r="14" spans="1:4">
      <c r="A14" s="29">
        <v>45183</v>
      </c>
      <c r="B14" s="2" t="s">
        <v>2</v>
      </c>
      <c r="C14" s="2">
        <v>224</v>
      </c>
      <c r="D14" s="47">
        <f>ROUNDUP(VLOOKUP(RIGHT(B14,1),テーブル!$A$3:$D$5,4,0)*C14,0)</f>
        <v>6855</v>
      </c>
    </row>
    <row r="15" spans="1:4">
      <c r="A15" s="29">
        <v>45184</v>
      </c>
      <c r="B15" s="2" t="s">
        <v>2</v>
      </c>
      <c r="C15" s="2">
        <v>282</v>
      </c>
      <c r="D15" s="47">
        <f>ROUNDUP(VLOOKUP(RIGHT(B15,1),テーブル!$A$3:$D$5,4,0)*C15,0)</f>
        <v>8630</v>
      </c>
    </row>
    <row r="16" spans="1:4">
      <c r="A16" s="29">
        <v>45185</v>
      </c>
      <c r="B16" s="2" t="s">
        <v>2</v>
      </c>
      <c r="C16" s="2">
        <v>252</v>
      </c>
      <c r="D16" s="47">
        <f>ROUNDUP(VLOOKUP(RIGHT(B16,1),テーブル!$A$3:$D$5,4,0)*C16,0)</f>
        <v>7712</v>
      </c>
    </row>
    <row r="17" spans="1:8">
      <c r="A17" s="29">
        <v>45186</v>
      </c>
      <c r="B17" s="2" t="s">
        <v>2</v>
      </c>
      <c r="C17" s="2">
        <v>214</v>
      </c>
      <c r="D17" s="47">
        <f>ROUNDUP(VLOOKUP(RIGHT(B17,1),テーブル!$A$3:$D$5,4,0)*C17,0)</f>
        <v>6549</v>
      </c>
    </row>
    <row r="18" spans="1:8">
      <c r="A18" s="29">
        <v>45190</v>
      </c>
      <c r="B18" s="2" t="s">
        <v>18</v>
      </c>
      <c r="C18" s="2">
        <v>408</v>
      </c>
      <c r="D18" s="47">
        <f>ROUNDUP(VLOOKUP(RIGHT(B18,1),テーブル!$A$3:$D$5,4,0)*C18,0)</f>
        <v>12852</v>
      </c>
    </row>
    <row r="19" spans="1:8">
      <c r="A19" s="29">
        <v>45190</v>
      </c>
      <c r="B19" s="2" t="s">
        <v>19</v>
      </c>
      <c r="C19" s="2">
        <v>383</v>
      </c>
      <c r="D19" s="47">
        <f>ROUNDUP(VLOOKUP(RIGHT(B19,1),テーブル!$A$3:$D$5,4,0)*C19,0)</f>
        <v>12525</v>
      </c>
    </row>
    <row r="20" spans="1:8">
      <c r="A20" s="29">
        <v>45191</v>
      </c>
      <c r="B20" s="2" t="s">
        <v>18</v>
      </c>
      <c r="C20" s="2">
        <v>332</v>
      </c>
      <c r="D20" s="47">
        <f>ROUNDUP(VLOOKUP(RIGHT(B20,1),テーブル!$A$3:$D$5,4,0)*C20,0)</f>
        <v>10458</v>
      </c>
    </row>
    <row r="21" spans="1:8">
      <c r="A21" s="29">
        <v>45193</v>
      </c>
      <c r="B21" s="2" t="s">
        <v>18</v>
      </c>
      <c r="C21" s="2">
        <v>347</v>
      </c>
      <c r="D21" s="47">
        <f>ROUNDUP(VLOOKUP(RIGHT(B21,1),テーブル!$A$3:$D$5,4,0)*C21,0)</f>
        <v>10931</v>
      </c>
    </row>
    <row r="22" spans="1:8">
      <c r="A22" s="29">
        <v>45196</v>
      </c>
      <c r="B22" s="2" t="s">
        <v>19</v>
      </c>
      <c r="C22" s="2">
        <v>405</v>
      </c>
      <c r="D22" s="47">
        <f>ROUNDUP(VLOOKUP(RIGHT(B22,1),テーブル!$A$3:$D$5,4,0)*C22,0)</f>
        <v>13244</v>
      </c>
    </row>
    <row r="23" spans="1:8">
      <c r="A23" s="29">
        <v>45196</v>
      </c>
      <c r="B23" s="2" t="s">
        <v>2</v>
      </c>
      <c r="C23" s="2">
        <v>207</v>
      </c>
      <c r="D23" s="47">
        <f>ROUNDUP(VLOOKUP(RIGHT(B23,1),テーブル!$A$3:$D$5,4,0)*C23,0)</f>
        <v>6335</v>
      </c>
    </row>
    <row r="24" spans="1:8">
      <c r="A24" s="29">
        <v>45197</v>
      </c>
      <c r="B24" s="2" t="s">
        <v>2</v>
      </c>
      <c r="C24" s="2">
        <v>218</v>
      </c>
      <c r="D24" s="47">
        <f>ROUNDUP(VLOOKUP(RIGHT(B24,1),テーブル!$A$3:$D$5,4,0)*C24,0)</f>
        <v>6671</v>
      </c>
    </row>
    <row r="25" spans="1:8">
      <c r="A25" s="29">
        <v>45198</v>
      </c>
      <c r="B25" s="2" t="s">
        <v>2</v>
      </c>
      <c r="C25" s="2">
        <v>269</v>
      </c>
      <c r="D25" s="47">
        <f>ROUNDUP(VLOOKUP(RIGHT(B25,1),テーブル!$A$3:$D$5,4,0)*C25,0)</f>
        <v>8232</v>
      </c>
    </row>
    <row r="26" spans="1:8">
      <c r="A26" s="29">
        <v>45199</v>
      </c>
      <c r="B26" s="2" t="s">
        <v>19</v>
      </c>
      <c r="C26" s="2">
        <v>316</v>
      </c>
      <c r="D26" s="47">
        <f>ROUNDUP(VLOOKUP(RIGHT(B26,1),テーブル!$A$3:$D$5,4,0)*C26,0)</f>
        <v>10334</v>
      </c>
    </row>
    <row r="27" spans="1:8" ht="14.25" thickBot="1">
      <c r="A27" s="31">
        <v>45199</v>
      </c>
      <c r="B27" s="32" t="s">
        <v>2</v>
      </c>
      <c r="C27" s="32">
        <v>169</v>
      </c>
      <c r="D27" s="48">
        <f>ROUNDUP(VLOOKUP(RIGHT(B27,1),テーブル!$A$3:$D$5,4,0)*C27,0)</f>
        <v>5172</v>
      </c>
    </row>
    <row r="28" spans="1:8">
      <c r="C28" s="19"/>
      <c r="D28" s="19"/>
    </row>
    <row r="30" spans="1:8">
      <c r="D30" s="37"/>
      <c r="E30" s="17"/>
      <c r="F30" s="17"/>
      <c r="G30" s="38"/>
      <c r="H30" s="38"/>
    </row>
    <row r="31" spans="1:8">
      <c r="D31" s="38"/>
      <c r="E31" s="38"/>
      <c r="F31" s="38"/>
      <c r="G31" s="38"/>
      <c r="H31" s="38"/>
    </row>
    <row r="32" spans="1:8">
      <c r="D32" s="38"/>
      <c r="E32" s="38"/>
      <c r="F32" s="38"/>
      <c r="G32" s="38"/>
      <c r="H32" s="38"/>
    </row>
  </sheetData>
  <sortState xmlns:xlrd2="http://schemas.microsoft.com/office/spreadsheetml/2017/richdata2" ref="A2:C27">
    <sortCondition ref="A2:A27"/>
    <sortCondition ref="B2:B27"/>
  </sortState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86590-270F-4BBD-B1C6-AD2D48BBC76B}">
  <dimension ref="A1:E41"/>
  <sheetViews>
    <sheetView workbookViewId="0"/>
  </sheetViews>
  <sheetFormatPr defaultRowHeight="13.5"/>
  <cols>
    <col min="1" max="1" width="9.5" bestFit="1" customWidth="1"/>
    <col min="2" max="4" width="7.5" bestFit="1" customWidth="1"/>
    <col min="5" max="5" width="9.5" bestFit="1" customWidth="1"/>
  </cols>
  <sheetData>
    <row r="1" spans="1:5">
      <c r="A1" s="22" t="s">
        <v>52</v>
      </c>
      <c r="B1" s="35" t="s">
        <v>11</v>
      </c>
      <c r="C1" s="35" t="s">
        <v>10</v>
      </c>
      <c r="D1" s="35" t="s">
        <v>26</v>
      </c>
      <c r="E1" s="21" t="s">
        <v>33</v>
      </c>
    </row>
    <row r="2" spans="1:5">
      <c r="A2" s="43">
        <v>1</v>
      </c>
      <c r="B2" s="2">
        <v>12</v>
      </c>
      <c r="C2" s="2">
        <v>1001</v>
      </c>
      <c r="D2" s="18">
        <v>549</v>
      </c>
      <c r="E2" s="6">
        <f>ROUNDDOWN(VLOOKUP(C2,テーブル!$F$3:$H$5,3,0)*VLOOKUP(D2,テーブル!$J$3:$K$5,2,1),0)</f>
        <v>267</v>
      </c>
    </row>
    <row r="3" spans="1:5">
      <c r="A3" s="43">
        <v>2</v>
      </c>
      <c r="B3" s="2">
        <v>13</v>
      </c>
      <c r="C3" s="30">
        <v>1001</v>
      </c>
      <c r="D3" s="18">
        <v>357</v>
      </c>
      <c r="E3" s="6">
        <f>ROUNDDOWN(VLOOKUP(C3,テーブル!$F$3:$H$5,3,0)*VLOOKUP(D3,テーブル!$J$3:$K$5,2,1),0)</f>
        <v>267</v>
      </c>
    </row>
    <row r="4" spans="1:5">
      <c r="A4" s="43">
        <v>3</v>
      </c>
      <c r="B4" s="2">
        <v>14</v>
      </c>
      <c r="C4" s="30">
        <v>1001</v>
      </c>
      <c r="D4" s="18">
        <v>712</v>
      </c>
      <c r="E4" s="6">
        <f>ROUNDDOWN(VLOOKUP(C4,テーブル!$F$3:$H$5,3,0)*VLOOKUP(D4,テーブル!$J$3:$K$5,2,1),0)</f>
        <v>261</v>
      </c>
    </row>
    <row r="5" spans="1:5">
      <c r="A5" s="43">
        <v>4</v>
      </c>
      <c r="B5" s="2">
        <v>15</v>
      </c>
      <c r="C5" s="2">
        <v>1001</v>
      </c>
      <c r="D5" s="18">
        <v>943</v>
      </c>
      <c r="E5" s="6">
        <f>ROUNDDOWN(VLOOKUP(C5,テーブル!$F$3:$H$5,3,0)*VLOOKUP(D5,テーブル!$J$3:$K$5,2,1),0)</f>
        <v>256</v>
      </c>
    </row>
    <row r="6" spans="1:5">
      <c r="A6" s="43">
        <v>5</v>
      </c>
      <c r="B6" s="2">
        <v>12</v>
      </c>
      <c r="C6" s="2">
        <v>1001</v>
      </c>
      <c r="D6" s="18">
        <v>685</v>
      </c>
      <c r="E6" s="6">
        <f>ROUNDDOWN(VLOOKUP(C6,テーブル!$F$3:$H$5,3,0)*VLOOKUP(D6,テーブル!$J$3:$K$5,2,1),0)</f>
        <v>267</v>
      </c>
    </row>
    <row r="7" spans="1:5">
      <c r="A7" s="43">
        <v>6</v>
      </c>
      <c r="B7" s="2">
        <v>13</v>
      </c>
      <c r="C7" s="30">
        <v>1001</v>
      </c>
      <c r="D7" s="18">
        <v>721</v>
      </c>
      <c r="E7" s="6">
        <f>ROUNDDOWN(VLOOKUP(C7,テーブル!$F$3:$H$5,3,0)*VLOOKUP(D7,テーブル!$J$3:$K$5,2,1),0)</f>
        <v>261</v>
      </c>
    </row>
    <row r="8" spans="1:5">
      <c r="A8" s="43">
        <v>7</v>
      </c>
      <c r="B8" s="2">
        <v>14</v>
      </c>
      <c r="C8" s="30">
        <v>1001</v>
      </c>
      <c r="D8" s="18">
        <v>599</v>
      </c>
      <c r="E8" s="6">
        <f>ROUNDDOWN(VLOOKUP(C8,テーブル!$F$3:$H$5,3,0)*VLOOKUP(D8,テーブル!$J$3:$K$5,2,1),0)</f>
        <v>267</v>
      </c>
    </row>
    <row r="9" spans="1:5">
      <c r="A9" s="43">
        <v>8</v>
      </c>
      <c r="B9" s="2">
        <v>15</v>
      </c>
      <c r="C9" s="2">
        <v>1001</v>
      </c>
      <c r="D9" s="18">
        <v>1206</v>
      </c>
      <c r="E9" s="6">
        <f>ROUNDDOWN(VLOOKUP(C9,テーブル!$F$3:$H$5,3,0)*VLOOKUP(D9,テーブル!$J$3:$K$5,2,1),0)</f>
        <v>256</v>
      </c>
    </row>
    <row r="10" spans="1:5">
      <c r="A10" s="43">
        <v>9</v>
      </c>
      <c r="B10" s="2">
        <v>12</v>
      </c>
      <c r="C10" s="2">
        <v>1001</v>
      </c>
      <c r="D10" s="18">
        <v>836</v>
      </c>
      <c r="E10" s="6">
        <f>ROUNDDOWN(VLOOKUP(C10,テーブル!$F$3:$H$5,3,0)*VLOOKUP(D10,テーブル!$J$3:$K$5,2,1),0)</f>
        <v>261</v>
      </c>
    </row>
    <row r="11" spans="1:5">
      <c r="A11" s="43">
        <v>10</v>
      </c>
      <c r="B11" s="2">
        <v>13</v>
      </c>
      <c r="C11" s="30">
        <v>1001</v>
      </c>
      <c r="D11" s="18">
        <v>505</v>
      </c>
      <c r="E11" s="6">
        <f>ROUNDDOWN(VLOOKUP(C11,テーブル!$F$3:$H$5,3,0)*VLOOKUP(D11,テーブル!$J$3:$K$5,2,1),0)</f>
        <v>267</v>
      </c>
    </row>
    <row r="12" spans="1:5">
      <c r="A12" s="43">
        <v>11</v>
      </c>
      <c r="B12" s="2">
        <v>14</v>
      </c>
      <c r="C12" s="30">
        <v>1001</v>
      </c>
      <c r="D12" s="18">
        <v>702</v>
      </c>
      <c r="E12" s="6">
        <f>ROUNDDOWN(VLOOKUP(C12,テーブル!$F$3:$H$5,3,0)*VLOOKUP(D12,テーブル!$J$3:$K$5,2,1),0)</f>
        <v>261</v>
      </c>
    </row>
    <row r="13" spans="1:5">
      <c r="A13" s="43">
        <v>12</v>
      </c>
      <c r="B13" s="2">
        <v>15</v>
      </c>
      <c r="C13" s="2">
        <v>1001</v>
      </c>
      <c r="D13" s="18">
        <v>637</v>
      </c>
      <c r="E13" s="6">
        <f>ROUNDDOWN(VLOOKUP(C13,テーブル!$F$3:$H$5,3,0)*VLOOKUP(D13,テーブル!$J$3:$K$5,2,1),0)</f>
        <v>267</v>
      </c>
    </row>
    <row r="14" spans="1:5">
      <c r="A14" s="43">
        <v>13</v>
      </c>
      <c r="B14" s="2">
        <v>11</v>
      </c>
      <c r="C14" s="30">
        <v>1002</v>
      </c>
      <c r="D14" s="18">
        <v>1019</v>
      </c>
      <c r="E14" s="6">
        <f>ROUNDDOWN(VLOOKUP(C14,テーブル!$F$3:$H$5,3,0)*VLOOKUP(D14,テーブル!$J$3:$K$5,2,1),0)</f>
        <v>187</v>
      </c>
    </row>
    <row r="15" spans="1:5">
      <c r="A15" s="43">
        <v>14</v>
      </c>
      <c r="B15" s="2">
        <v>12</v>
      </c>
      <c r="C15" s="2">
        <v>1002</v>
      </c>
      <c r="D15" s="18">
        <v>863</v>
      </c>
      <c r="E15" s="6">
        <f>ROUNDDOWN(VLOOKUP(C15,テーブル!$F$3:$H$5,3,0)*VLOOKUP(D15,テーブル!$J$3:$K$5,2,1),0)</f>
        <v>191</v>
      </c>
    </row>
    <row r="16" spans="1:5">
      <c r="A16" s="43">
        <v>15</v>
      </c>
      <c r="B16" s="2">
        <v>13</v>
      </c>
      <c r="C16" s="30">
        <v>1002</v>
      </c>
      <c r="D16" s="18">
        <v>1082</v>
      </c>
      <c r="E16" s="6">
        <f>ROUNDDOWN(VLOOKUP(C16,テーブル!$F$3:$H$5,3,0)*VLOOKUP(D16,テーブル!$J$3:$K$5,2,1),0)</f>
        <v>187</v>
      </c>
    </row>
    <row r="17" spans="1:5">
      <c r="A17" s="43">
        <v>16</v>
      </c>
      <c r="B17" s="2">
        <v>15</v>
      </c>
      <c r="C17" s="2">
        <v>1002</v>
      </c>
      <c r="D17" s="18">
        <v>1119</v>
      </c>
      <c r="E17" s="6">
        <f>ROUNDDOWN(VLOOKUP(C17,テーブル!$F$3:$H$5,3,0)*VLOOKUP(D17,テーブル!$J$3:$K$5,2,1),0)</f>
        <v>187</v>
      </c>
    </row>
    <row r="18" spans="1:5">
      <c r="A18" s="43">
        <v>17</v>
      </c>
      <c r="B18" s="2">
        <v>11</v>
      </c>
      <c r="C18" s="30">
        <v>1002</v>
      </c>
      <c r="D18" s="18">
        <v>346</v>
      </c>
      <c r="E18" s="6">
        <f>ROUNDDOWN(VLOOKUP(C18,テーブル!$F$3:$H$5,3,0)*VLOOKUP(D18,テーブル!$J$3:$K$5,2,1),0)</f>
        <v>195</v>
      </c>
    </row>
    <row r="19" spans="1:5">
      <c r="A19" s="43">
        <v>18</v>
      </c>
      <c r="B19" s="2">
        <v>12</v>
      </c>
      <c r="C19" s="2">
        <v>1002</v>
      </c>
      <c r="D19" s="18">
        <v>702</v>
      </c>
      <c r="E19" s="6">
        <f>ROUNDDOWN(VLOOKUP(C19,テーブル!$F$3:$H$5,3,0)*VLOOKUP(D19,テーブル!$J$3:$K$5,2,1),0)</f>
        <v>191</v>
      </c>
    </row>
    <row r="20" spans="1:5">
      <c r="A20" s="43">
        <v>19</v>
      </c>
      <c r="B20" s="2">
        <v>13</v>
      </c>
      <c r="C20" s="30">
        <v>1002</v>
      </c>
      <c r="D20" s="18">
        <v>847</v>
      </c>
      <c r="E20" s="6">
        <f>ROUNDDOWN(VLOOKUP(C20,テーブル!$F$3:$H$5,3,0)*VLOOKUP(D20,テーブル!$J$3:$K$5,2,1),0)</f>
        <v>191</v>
      </c>
    </row>
    <row r="21" spans="1:5">
      <c r="A21" s="43">
        <v>20</v>
      </c>
      <c r="B21" s="2">
        <v>15</v>
      </c>
      <c r="C21" s="2">
        <v>1002</v>
      </c>
      <c r="D21" s="18">
        <v>529</v>
      </c>
      <c r="E21" s="6">
        <f>ROUNDDOWN(VLOOKUP(C21,テーブル!$F$3:$H$5,3,0)*VLOOKUP(D21,テーブル!$J$3:$K$5,2,1),0)</f>
        <v>195</v>
      </c>
    </row>
    <row r="22" spans="1:5">
      <c r="A22" s="43">
        <v>21</v>
      </c>
      <c r="B22" s="2">
        <v>11</v>
      </c>
      <c r="C22" s="30">
        <v>1002</v>
      </c>
      <c r="D22" s="18">
        <v>900</v>
      </c>
      <c r="E22" s="6">
        <f>ROUNDDOWN(VLOOKUP(C22,テーブル!$F$3:$H$5,3,0)*VLOOKUP(D22,テーブル!$J$3:$K$5,2,1),0)</f>
        <v>187</v>
      </c>
    </row>
    <row r="23" spans="1:5">
      <c r="A23" s="43">
        <v>22</v>
      </c>
      <c r="B23" s="2">
        <v>12</v>
      </c>
      <c r="C23" s="2">
        <v>1002</v>
      </c>
      <c r="D23" s="18">
        <v>529</v>
      </c>
      <c r="E23" s="6">
        <f>ROUNDDOWN(VLOOKUP(C23,テーブル!$F$3:$H$5,3,0)*VLOOKUP(D23,テーブル!$J$3:$K$5,2,1),0)</f>
        <v>195</v>
      </c>
    </row>
    <row r="24" spans="1:5">
      <c r="A24" s="43">
        <v>23</v>
      </c>
      <c r="B24" s="2">
        <v>13</v>
      </c>
      <c r="C24" s="30">
        <v>1002</v>
      </c>
      <c r="D24" s="18">
        <v>717</v>
      </c>
      <c r="E24" s="6">
        <f>ROUNDDOWN(VLOOKUP(C24,テーブル!$F$3:$H$5,3,0)*VLOOKUP(D24,テーブル!$J$3:$K$5,2,1),0)</f>
        <v>191</v>
      </c>
    </row>
    <row r="25" spans="1:5">
      <c r="A25" s="43">
        <v>24</v>
      </c>
      <c r="B25" s="2">
        <v>15</v>
      </c>
      <c r="C25" s="2">
        <v>1002</v>
      </c>
      <c r="D25" s="18">
        <v>912</v>
      </c>
      <c r="E25" s="6">
        <f>ROUNDDOWN(VLOOKUP(C25,テーブル!$F$3:$H$5,3,0)*VLOOKUP(D25,テーブル!$J$3:$K$5,2,1),0)</f>
        <v>187</v>
      </c>
    </row>
    <row r="26" spans="1:5">
      <c r="A26" s="43">
        <v>25</v>
      </c>
      <c r="B26" s="2">
        <v>11</v>
      </c>
      <c r="C26" s="30">
        <v>1003</v>
      </c>
      <c r="D26" s="18">
        <v>430</v>
      </c>
      <c r="E26" s="6">
        <f>ROUNDDOWN(VLOOKUP(C26,テーブル!$F$3:$H$5,3,0)*VLOOKUP(D26,テーブル!$J$3:$K$5,2,1),0)</f>
        <v>230</v>
      </c>
    </row>
    <row r="27" spans="1:5">
      <c r="A27" s="43">
        <v>26</v>
      </c>
      <c r="B27" s="2">
        <v>12</v>
      </c>
      <c r="C27" s="30">
        <v>1003</v>
      </c>
      <c r="D27" s="18">
        <v>748</v>
      </c>
      <c r="E27" s="6">
        <f>ROUNDDOWN(VLOOKUP(C27,テーブル!$F$3:$H$5,3,0)*VLOOKUP(D27,テーブル!$J$3:$K$5,2,1),0)</f>
        <v>225</v>
      </c>
    </row>
    <row r="28" spans="1:5">
      <c r="A28" s="43">
        <v>27</v>
      </c>
      <c r="B28" s="2">
        <v>13</v>
      </c>
      <c r="C28" s="30">
        <v>1003</v>
      </c>
      <c r="D28" s="18">
        <v>785</v>
      </c>
      <c r="E28" s="6">
        <f>ROUNDDOWN(VLOOKUP(C28,テーブル!$F$3:$H$5,3,0)*VLOOKUP(D28,テーブル!$J$3:$K$5,2,1),0)</f>
        <v>225</v>
      </c>
    </row>
    <row r="29" spans="1:5">
      <c r="A29" s="43">
        <v>28</v>
      </c>
      <c r="B29" s="2">
        <v>14</v>
      </c>
      <c r="C29" s="30">
        <v>1003</v>
      </c>
      <c r="D29" s="18">
        <v>1091</v>
      </c>
      <c r="E29" s="6">
        <f>ROUNDDOWN(VLOOKUP(C29,テーブル!$F$3:$H$5,3,0)*VLOOKUP(D29,テーブル!$J$3:$K$5,2,1),0)</f>
        <v>220</v>
      </c>
    </row>
    <row r="30" spans="1:5">
      <c r="A30" s="43">
        <v>29</v>
      </c>
      <c r="B30" s="2">
        <v>15</v>
      </c>
      <c r="C30" s="30">
        <v>1003</v>
      </c>
      <c r="D30" s="18">
        <v>492</v>
      </c>
      <c r="E30" s="6">
        <f>ROUNDDOWN(VLOOKUP(C30,テーブル!$F$3:$H$5,3,0)*VLOOKUP(D30,テーブル!$J$3:$K$5,2,1),0)</f>
        <v>230</v>
      </c>
    </row>
    <row r="31" spans="1:5">
      <c r="A31" s="43">
        <v>30</v>
      </c>
      <c r="B31" s="2">
        <v>11</v>
      </c>
      <c r="C31" s="30">
        <v>1003</v>
      </c>
      <c r="D31" s="18">
        <v>754</v>
      </c>
      <c r="E31" s="6">
        <f>ROUNDDOWN(VLOOKUP(C31,テーブル!$F$3:$H$5,3,0)*VLOOKUP(D31,テーブル!$J$3:$K$5,2,1),0)</f>
        <v>225</v>
      </c>
    </row>
    <row r="32" spans="1:5">
      <c r="A32" s="43">
        <v>31</v>
      </c>
      <c r="B32" s="2">
        <v>12</v>
      </c>
      <c r="C32" s="30">
        <v>1003</v>
      </c>
      <c r="D32" s="18">
        <v>109</v>
      </c>
      <c r="E32" s="6">
        <f>ROUNDDOWN(VLOOKUP(C32,テーブル!$F$3:$H$5,3,0)*VLOOKUP(D32,テーブル!$J$3:$K$5,2,1),0)</f>
        <v>230</v>
      </c>
    </row>
    <row r="33" spans="1:5">
      <c r="A33" s="43">
        <v>32</v>
      </c>
      <c r="B33" s="2">
        <v>13</v>
      </c>
      <c r="C33" s="30">
        <v>1003</v>
      </c>
      <c r="D33" s="18">
        <v>205</v>
      </c>
      <c r="E33" s="6">
        <f>ROUNDDOWN(VLOOKUP(C33,テーブル!$F$3:$H$5,3,0)*VLOOKUP(D33,テーブル!$J$3:$K$5,2,1),0)</f>
        <v>230</v>
      </c>
    </row>
    <row r="34" spans="1:5">
      <c r="A34" s="43">
        <v>33</v>
      </c>
      <c r="B34" s="2">
        <v>14</v>
      </c>
      <c r="C34" s="30">
        <v>1003</v>
      </c>
      <c r="D34" s="18">
        <v>155</v>
      </c>
      <c r="E34" s="6">
        <f>ROUNDDOWN(VLOOKUP(C34,テーブル!$F$3:$H$5,3,0)*VLOOKUP(D34,テーブル!$J$3:$K$5,2,1),0)</f>
        <v>230</v>
      </c>
    </row>
    <row r="35" spans="1:5">
      <c r="A35" s="43">
        <v>34</v>
      </c>
      <c r="B35" s="2">
        <v>15</v>
      </c>
      <c r="C35" s="30">
        <v>1003</v>
      </c>
      <c r="D35" s="18">
        <v>424</v>
      </c>
      <c r="E35" s="6">
        <f>ROUNDDOWN(VLOOKUP(C35,テーブル!$F$3:$H$5,3,0)*VLOOKUP(D35,テーブル!$J$3:$K$5,2,1),0)</f>
        <v>230</v>
      </c>
    </row>
    <row r="36" spans="1:5">
      <c r="A36" s="43">
        <v>35</v>
      </c>
      <c r="B36" s="2">
        <v>11</v>
      </c>
      <c r="C36" s="30">
        <v>1003</v>
      </c>
      <c r="D36" s="18">
        <v>481</v>
      </c>
      <c r="E36" s="6">
        <f>ROUNDDOWN(VLOOKUP(C36,テーブル!$F$3:$H$5,3,0)*VLOOKUP(D36,テーブル!$J$3:$K$5,2,1),0)</f>
        <v>230</v>
      </c>
    </row>
    <row r="37" spans="1:5">
      <c r="A37" s="43">
        <v>36</v>
      </c>
      <c r="B37" s="2">
        <v>12</v>
      </c>
      <c r="C37" s="30">
        <v>1003</v>
      </c>
      <c r="D37" s="18">
        <v>357</v>
      </c>
      <c r="E37" s="6">
        <f>ROUNDDOWN(VLOOKUP(C37,テーブル!$F$3:$H$5,3,0)*VLOOKUP(D37,テーブル!$J$3:$K$5,2,1),0)</f>
        <v>230</v>
      </c>
    </row>
    <row r="38" spans="1:5">
      <c r="A38" s="43">
        <v>37</v>
      </c>
      <c r="B38" s="2">
        <v>13</v>
      </c>
      <c r="C38" s="30">
        <v>1003</v>
      </c>
      <c r="D38" s="18">
        <v>784</v>
      </c>
      <c r="E38" s="6">
        <f>ROUNDDOWN(VLOOKUP(C38,テーブル!$F$3:$H$5,3,0)*VLOOKUP(D38,テーブル!$J$3:$K$5,2,1),0)</f>
        <v>225</v>
      </c>
    </row>
    <row r="39" spans="1:5">
      <c r="A39" s="43">
        <v>38</v>
      </c>
      <c r="B39" s="2">
        <v>14</v>
      </c>
      <c r="C39" s="30">
        <v>1003</v>
      </c>
      <c r="D39" s="18">
        <v>901</v>
      </c>
      <c r="E39" s="6">
        <f>ROUNDDOWN(VLOOKUP(C39,テーブル!$F$3:$H$5,3,0)*VLOOKUP(D39,テーブル!$J$3:$K$5,2,1),0)</f>
        <v>220</v>
      </c>
    </row>
    <row r="40" spans="1:5" ht="14.25" thickBot="1">
      <c r="A40" s="44">
        <v>39</v>
      </c>
      <c r="B40" s="32">
        <v>15</v>
      </c>
      <c r="C40" s="33">
        <v>1003</v>
      </c>
      <c r="D40" s="42">
        <v>521</v>
      </c>
      <c r="E40" s="34">
        <f>ROUNDDOWN(VLOOKUP(C40,テーブル!$F$3:$H$5,3,0)*VLOOKUP(D40,テーブル!$J$3:$K$5,2,1),0)</f>
        <v>230</v>
      </c>
    </row>
    <row r="41" spans="1:5">
      <c r="D41" s="19"/>
      <c r="E41" s="19"/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3"/>
  <sheetViews>
    <sheetView zoomScaleNormal="100" workbookViewId="0">
      <selection sqref="A1:H1"/>
    </sheetView>
  </sheetViews>
  <sheetFormatPr defaultRowHeight="13.5"/>
  <cols>
    <col min="1" max="1" width="7.5" bestFit="1" customWidth="1"/>
    <col min="2" max="2" width="11.625" bestFit="1" customWidth="1"/>
    <col min="3" max="5" width="8.5" bestFit="1" customWidth="1"/>
    <col min="6" max="6" width="9.5" bestFit="1" customWidth="1"/>
    <col min="7" max="7" width="7.5" bestFit="1" customWidth="1"/>
    <col min="8" max="8" width="8.5" bestFit="1" customWidth="1"/>
    <col min="9" max="9" width="5.25" customWidth="1"/>
    <col min="10" max="10" width="7.5" bestFit="1" customWidth="1"/>
    <col min="11" max="11" width="9.5" bestFit="1" customWidth="1"/>
    <col min="12" max="12" width="7.5" bestFit="1" customWidth="1"/>
    <col min="13" max="13" width="10.5" bestFit="1" customWidth="1"/>
    <col min="14" max="14" width="8.5" bestFit="1" customWidth="1"/>
    <col min="15" max="15" width="10.5" bestFit="1" customWidth="1"/>
  </cols>
  <sheetData>
    <row r="1" spans="1:15" ht="14.25" thickBot="1">
      <c r="A1" s="49" t="s">
        <v>8</v>
      </c>
      <c r="B1" s="49"/>
      <c r="C1" s="49"/>
      <c r="D1" s="49"/>
      <c r="E1" s="49"/>
      <c r="F1" s="49"/>
      <c r="G1" s="49"/>
      <c r="H1" s="49"/>
      <c r="I1" s="20"/>
      <c r="J1" s="49" t="s">
        <v>7</v>
      </c>
      <c r="K1" s="49"/>
      <c r="L1" s="49"/>
      <c r="M1" s="49"/>
      <c r="N1" s="49"/>
      <c r="O1" s="49"/>
    </row>
    <row r="2" spans="1:15">
      <c r="A2" s="23"/>
      <c r="B2" s="24"/>
      <c r="C2" s="50" t="s">
        <v>31</v>
      </c>
      <c r="D2" s="50"/>
      <c r="E2" s="50"/>
      <c r="F2" s="24"/>
      <c r="G2" s="24"/>
      <c r="H2" s="25"/>
      <c r="J2" s="22" t="s">
        <v>11</v>
      </c>
      <c r="K2" s="35" t="s">
        <v>13</v>
      </c>
      <c r="L2" s="35" t="s">
        <v>29</v>
      </c>
      <c r="M2" s="35" t="s">
        <v>36</v>
      </c>
      <c r="N2" s="35" t="s">
        <v>14</v>
      </c>
      <c r="O2" s="21" t="s">
        <v>3</v>
      </c>
    </row>
    <row r="3" spans="1:15">
      <c r="A3" s="26" t="s">
        <v>9</v>
      </c>
      <c r="B3" s="27" t="s">
        <v>15</v>
      </c>
      <c r="C3" s="1" t="s">
        <v>40</v>
      </c>
      <c r="D3" s="1" t="s">
        <v>41</v>
      </c>
      <c r="E3" s="1" t="s">
        <v>42</v>
      </c>
      <c r="F3" s="27" t="s">
        <v>32</v>
      </c>
      <c r="G3" s="27" t="s">
        <v>16</v>
      </c>
      <c r="H3" s="28" t="s">
        <v>17</v>
      </c>
      <c r="I3" s="20"/>
      <c r="J3" s="4">
        <v>15</v>
      </c>
      <c r="K3" s="2" t="str">
        <f>VLOOKUP(J3,テーブル!$P$3:$Q$7,2,0)</f>
        <v>ＳＰ精密</v>
      </c>
      <c r="L3" s="3">
        <f>DSUM(納品データ表!$A$1:$E$40,$L$2,$N$11:$N$12)</f>
        <v>6783</v>
      </c>
      <c r="M3" s="18">
        <f>SUMPRODUCT((納品データ表!$B$2:$B$40=J3)*1,納品データ表!$E$2:$E$40,納品データ表!$D$2:$D$40)</f>
        <v>1533685</v>
      </c>
      <c r="N3" s="3">
        <f>ROUNDDOWN(IF(L3&gt;=6000,M3*8%,M3*7%),-1)</f>
        <v>122690</v>
      </c>
      <c r="O3" s="5">
        <f>M3+N3</f>
        <v>1656375</v>
      </c>
    </row>
    <row r="4" spans="1:15">
      <c r="A4" s="4" t="s">
        <v>18</v>
      </c>
      <c r="B4" s="2" t="str">
        <f>VLOOKUP(A4,テーブル!$M$3:$N$6,2,0)</f>
        <v>長谷川　緑</v>
      </c>
      <c r="C4" s="3">
        <f ca="1">DSUM(INDIRECT(C$3&amp;"!$A$1:$D$27"),$C$2,$B$11:$B$12)</f>
        <v>0</v>
      </c>
      <c r="D4" s="3">
        <f ca="1">DSUM(INDIRECT(D$3&amp;"!$A$1:$D$27"),$C$2,$B$11:$B$12)</f>
        <v>97830</v>
      </c>
      <c r="E4" s="3">
        <f ca="1">DSUM(INDIRECT(E$3&amp;"!$A$1:$D$27"),$C$2,$B$11:$B$12)</f>
        <v>95982</v>
      </c>
      <c r="F4" s="3">
        <f ca="1">ROUNDDOWN(SUM(C4:E4)*8.5%,-1)</f>
        <v>16470</v>
      </c>
      <c r="G4" s="3">
        <f ca="1">MOD(SUM(C4:E4)+F4,1000)</f>
        <v>282</v>
      </c>
      <c r="H4" s="5">
        <f ca="1">SUM(C4:E4)+F4-G4</f>
        <v>210000</v>
      </c>
      <c r="I4" s="19"/>
      <c r="J4" s="4">
        <v>13</v>
      </c>
      <c r="K4" s="2" t="str">
        <f>VLOOKUP(J4,テーブル!$P$3:$Q$7,2,0)</f>
        <v>シモヤマ</v>
      </c>
      <c r="L4" s="3">
        <f>DSUM(納品データ表!$A$1:$E$40,$L$2,$L$11:$L$12)</f>
        <v>6003</v>
      </c>
      <c r="M4" s="18">
        <f>SUMPRODUCT((納品データ表!$B$2:$B$40=J4)*1,納品データ表!$E$2:$E$40,納品データ表!$D$2:$D$40)</f>
        <v>1319568</v>
      </c>
      <c r="N4" s="3">
        <f>ROUNDDOWN(IF(L4&gt;=6000,M4*8%,M4*7%),-1)</f>
        <v>105560</v>
      </c>
      <c r="O4" s="5">
        <f>M4+N4</f>
        <v>1425128</v>
      </c>
    </row>
    <row r="5" spans="1:15">
      <c r="A5" s="4" t="s">
        <v>2</v>
      </c>
      <c r="B5" s="2" t="str">
        <f>VLOOKUP(A5,テーブル!$M$3:$N$6,2,0)</f>
        <v>村山　花子</v>
      </c>
      <c r="C5" s="3">
        <f ca="1">DSUM(INDIRECT(C$3&amp;"!$A$1:$D$27"),$C$2,$D$11:$D$12)</f>
        <v>113919</v>
      </c>
      <c r="D5" s="3">
        <f ca="1">DSUM(INDIRECT(D$3&amp;"!$A$1:$D$27"),$C$2,$D$11:$D$12)</f>
        <v>0</v>
      </c>
      <c r="E5" s="3">
        <f ca="1">DSUM(INDIRECT(E$3&amp;"!$A$1:$D$27"),$C$2,$D$11:$D$12)</f>
        <v>86696</v>
      </c>
      <c r="F5" s="3">
        <f ca="1">ROUNDDOWN(SUM(C5:E5)*8.5%,-1)</f>
        <v>17050</v>
      </c>
      <c r="G5" s="3">
        <f ca="1">MOD(SUM(C5:E5)+F5,1000)</f>
        <v>665</v>
      </c>
      <c r="H5" s="5">
        <f ca="1">SUM(C5:E5)+F5-G5</f>
        <v>217000</v>
      </c>
      <c r="I5" s="19"/>
      <c r="J5" s="4">
        <v>12</v>
      </c>
      <c r="K5" s="2" t="str">
        <f>VLOOKUP(J5,テーブル!$P$3:$Q$7,2,0)</f>
        <v>中山金属</v>
      </c>
      <c r="L5" s="3">
        <f>DSUM(納品データ表!$A$1:$E$40,$L$2,$K$11:$K$12)</f>
        <v>5378</v>
      </c>
      <c r="M5" s="18">
        <f>SUMPRODUCT((納品データ表!$B$2:$B$40=J5)*1,納品データ表!$E$2:$E$40,納品データ表!$D$2:$D$40)</f>
        <v>1225224</v>
      </c>
      <c r="N5" s="3">
        <f>ROUNDDOWN(IF(L5&gt;=6000,M5*8%,M5*7%),-1)</f>
        <v>85760</v>
      </c>
      <c r="O5" s="5">
        <f>M5+N5</f>
        <v>1310984</v>
      </c>
    </row>
    <row r="6" spans="1:15">
      <c r="A6" s="4" t="s">
        <v>1</v>
      </c>
      <c r="B6" s="2" t="str">
        <f>VLOOKUP(A6,テーブル!$M$3:$N$6,2,0)</f>
        <v>大西　正明</v>
      </c>
      <c r="C6" s="3">
        <f ca="1">DSUM(INDIRECT(C$3&amp;"!$A$1:$D$27"),$C$2,$A$11:$A$12)</f>
        <v>145867</v>
      </c>
      <c r="D6" s="3">
        <f ca="1">DSUM(INDIRECT(D$3&amp;"!$A$1:$D$27"),$C$2,$A$11:$A$12)</f>
        <v>79278</v>
      </c>
      <c r="E6" s="3">
        <f ca="1">DSUM(INDIRECT(E$3&amp;"!$A$1:$D$27"),$C$2,$A$11:$A$12)</f>
        <v>0</v>
      </c>
      <c r="F6" s="3">
        <f ca="1">ROUNDDOWN(SUM(C6:E6)*8.5%,-1)</f>
        <v>19130</v>
      </c>
      <c r="G6" s="3">
        <f ca="1">MOD(SUM(C6:E6)+F6,1000)</f>
        <v>275</v>
      </c>
      <c r="H6" s="5">
        <f ca="1">SUM(C6:E6)+F6-G6</f>
        <v>244000</v>
      </c>
      <c r="I6" s="19"/>
      <c r="J6" s="4">
        <v>14</v>
      </c>
      <c r="K6" s="2" t="str">
        <f>VLOOKUP(J6,テーブル!$P$3:$Q$7,2,0)</f>
        <v>北陸製作</v>
      </c>
      <c r="L6" s="3">
        <f>DSUM(納品データ表!$A$1:$E$40,$L$2,$M$11:$M$12)</f>
        <v>4160</v>
      </c>
      <c r="M6" s="18">
        <f>SUMPRODUCT((納品データ表!$B$2:$B$40=J6)*1,納品データ表!$E$2:$E$40,納品データ表!$D$2:$D$40)</f>
        <v>1002877</v>
      </c>
      <c r="N6" s="3">
        <f>ROUNDDOWN(IF(L6&gt;=6000,M6*8%,M6*7%),-1)</f>
        <v>70200</v>
      </c>
      <c r="O6" s="5">
        <f>M6+N6</f>
        <v>1073077</v>
      </c>
    </row>
    <row r="7" spans="1:15">
      <c r="A7" s="4" t="s">
        <v>19</v>
      </c>
      <c r="B7" s="2" t="str">
        <f>VLOOKUP(A7,テーブル!$M$3:$N$6,2,0)</f>
        <v>南　真二郎</v>
      </c>
      <c r="C7" s="3">
        <f ca="1">DSUM(INDIRECT(C$3&amp;"!$A$1:$D$27"),$C$2,$C$11:$C$12)</f>
        <v>76872</v>
      </c>
      <c r="D7" s="3">
        <f ca="1">DSUM(INDIRECT(D$3&amp;"!$A$1:$D$27"),$C$2,$C$11:$C$12)</f>
        <v>90242</v>
      </c>
      <c r="E7" s="3">
        <f ca="1">DSUM(INDIRECT(E$3&amp;"!$A$1:$D$27"),$C$2,$C$11:$C$12)</f>
        <v>77339</v>
      </c>
      <c r="F7" s="3">
        <f ca="1">ROUNDDOWN(SUM(C7:E7)*8.5%,-1)</f>
        <v>20770</v>
      </c>
      <c r="G7" s="3">
        <f ca="1">MOD(SUM(C7:E7)+F7,1000)</f>
        <v>223</v>
      </c>
      <c r="H7" s="5">
        <f ca="1">SUM(C7:E7)+F7-G7</f>
        <v>265000</v>
      </c>
      <c r="I7" s="19"/>
      <c r="J7" s="4">
        <v>11</v>
      </c>
      <c r="K7" s="2" t="str">
        <f>VLOOKUP(J7,テーブル!$P$3:$Q$7,2,0)</f>
        <v>九州電機</v>
      </c>
      <c r="L7" s="3">
        <f>DSUM(納品データ表!$A$1:$E$40,$L$2,$J$11:$J$12)</f>
        <v>3930</v>
      </c>
      <c r="M7" s="18">
        <f>SUMPRODUCT((納品データ表!$B$2:$B$40=J7)*1,納品データ表!$E$2:$E$40,納品データ表!$D$2:$D$40)</f>
        <v>805503</v>
      </c>
      <c r="N7" s="3">
        <f>ROUNDDOWN(IF(L7&gt;=6000,M7*8%,M7*7%),-1)</f>
        <v>56380</v>
      </c>
      <c r="O7" s="5">
        <f>M7+N7</f>
        <v>861883</v>
      </c>
    </row>
    <row r="8" spans="1:15">
      <c r="A8" s="4"/>
      <c r="B8" s="2"/>
      <c r="C8" s="2"/>
      <c r="D8" s="2"/>
      <c r="E8" s="2"/>
      <c r="F8" s="2"/>
      <c r="G8" s="2"/>
      <c r="H8" s="6"/>
      <c r="J8" s="4"/>
      <c r="K8" s="2"/>
      <c r="L8" s="2"/>
      <c r="M8" s="2"/>
      <c r="N8" s="2"/>
      <c r="O8" s="6"/>
    </row>
    <row r="9" spans="1:15" ht="14.25" thickBot="1">
      <c r="A9" s="7"/>
      <c r="B9" s="8" t="s">
        <v>0</v>
      </c>
      <c r="C9" s="9">
        <f t="shared" ref="C9:H9" ca="1" si="0">SUM(C4:C7)</f>
        <v>336658</v>
      </c>
      <c r="D9" s="9">
        <f t="shared" ca="1" si="0"/>
        <v>267350</v>
      </c>
      <c r="E9" s="9">
        <f t="shared" ca="1" si="0"/>
        <v>260017</v>
      </c>
      <c r="F9" s="9">
        <f t="shared" ca="1" si="0"/>
        <v>73420</v>
      </c>
      <c r="G9" s="9">
        <f t="shared" ca="1" si="0"/>
        <v>1445</v>
      </c>
      <c r="H9" s="12">
        <f t="shared" ca="1" si="0"/>
        <v>936000</v>
      </c>
      <c r="I9" s="19"/>
      <c r="J9" s="7"/>
      <c r="K9" s="8" t="s">
        <v>0</v>
      </c>
      <c r="L9" s="9">
        <f>SUM(L3:L7)</f>
        <v>26254</v>
      </c>
      <c r="M9" s="9">
        <f>SUM(M3:M7)</f>
        <v>5886857</v>
      </c>
      <c r="N9" s="9">
        <f>SUM(N3:N7)</f>
        <v>440590</v>
      </c>
      <c r="O9" s="12">
        <f>SUM(O3:O7)</f>
        <v>6327447</v>
      </c>
    </row>
    <row r="10" spans="1:15" ht="14.25" thickBot="1"/>
    <row r="11" spans="1:15">
      <c r="A11" s="13" t="s">
        <v>9</v>
      </c>
      <c r="B11" s="10" t="s">
        <v>9</v>
      </c>
      <c r="C11" s="15" t="s">
        <v>9</v>
      </c>
      <c r="D11" s="15" t="s">
        <v>9</v>
      </c>
      <c r="H11" s="36"/>
      <c r="I11" s="36"/>
      <c r="J11" s="13" t="s">
        <v>11</v>
      </c>
      <c r="K11" s="10" t="s">
        <v>11</v>
      </c>
      <c r="L11" s="15" t="s">
        <v>11</v>
      </c>
      <c r="M11" s="15" t="s">
        <v>11</v>
      </c>
      <c r="N11" s="15" t="s">
        <v>11</v>
      </c>
    </row>
    <row r="12" spans="1:15" ht="14.25" thickBot="1">
      <c r="A12" s="14" t="s">
        <v>1</v>
      </c>
      <c r="B12" s="11" t="s">
        <v>18</v>
      </c>
      <c r="C12" s="16" t="s">
        <v>19</v>
      </c>
      <c r="D12" s="16" t="s">
        <v>2</v>
      </c>
      <c r="J12" s="14">
        <v>11</v>
      </c>
      <c r="K12" s="11">
        <v>12</v>
      </c>
      <c r="L12" s="16">
        <v>13</v>
      </c>
      <c r="M12" s="16">
        <v>14</v>
      </c>
      <c r="N12" s="16">
        <v>15</v>
      </c>
    </row>
    <row r="13" spans="1:15">
      <c r="G13" s="17"/>
    </row>
  </sheetData>
  <sortState xmlns:xlrd2="http://schemas.microsoft.com/office/spreadsheetml/2017/richdata2" ref="J2:O7">
    <sortCondition descending="1" ref="L3:L7"/>
  </sortState>
  <mergeCells count="3">
    <mergeCell ref="A1:H1"/>
    <mergeCell ref="C2:E2"/>
    <mergeCell ref="J1:O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テーブル</vt:lpstr>
      <vt:lpstr>部品Ｅ</vt:lpstr>
      <vt:lpstr>部品Ｆ</vt:lpstr>
      <vt:lpstr>部品Ｇ</vt:lpstr>
      <vt:lpstr>納品データ表</vt:lpstr>
      <vt:lpstr>計算表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日本情報処理検定協会(M.N)</cp:lastModifiedBy>
  <cp:lastPrinted>2020-10-22T00:25:14Z</cp:lastPrinted>
  <dcterms:created xsi:type="dcterms:W3CDTF">2019-03-28T01:49:55Z</dcterms:created>
  <dcterms:modified xsi:type="dcterms:W3CDTF">2022-12-26T08:39:16Z</dcterms:modified>
</cp:coreProperties>
</file>