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3(令和05)年度\1表計算\3_SP初段\模範解答\sps-A\"/>
    </mc:Choice>
  </mc:AlternateContent>
  <xr:revisionPtr revIDLastSave="0" documentId="13_ncr:1_{43A111D3-D42F-41DB-BB2D-64297B4017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4" r:id="rId1"/>
    <sheet name="仕入データ表" sheetId="5" r:id="rId2"/>
    <sheet name="販売データ表" sheetId="6" r:id="rId3"/>
    <sheet name="計算表" sheetId="7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仕入データ表!#REF!</definedName>
    <definedName name="_xlnm._FilterDatabase" localSheetId="2" hidden="1">販売データ表!$B$1:$G$22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2" i="6"/>
  <c r="L6" i="7"/>
  <c r="L5" i="7"/>
  <c r="L4" i="7"/>
  <c r="L3" i="7"/>
  <c r="C4" i="7" l="1"/>
  <c r="C5" i="7"/>
  <c r="C6" i="7"/>
  <c r="C7" i="7"/>
  <c r="C8" i="7"/>
  <c r="C9" i="7"/>
  <c r="C10" i="7"/>
  <c r="C3" i="7"/>
  <c r="E33" i="6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D2" i="5" l="1"/>
  <c r="B3" i="7"/>
  <c r="F4" i="6"/>
  <c r="F7" i="6"/>
  <c r="F14" i="6"/>
  <c r="F17" i="6"/>
  <c r="F21" i="6"/>
  <c r="F24" i="6"/>
  <c r="F2" i="6"/>
  <c r="F5" i="6"/>
  <c r="F9" i="6"/>
  <c r="F15" i="6"/>
  <c r="F13" i="6"/>
  <c r="F19" i="6"/>
  <c r="F23" i="6"/>
  <c r="F3" i="6"/>
  <c r="F8" i="6"/>
  <c r="F6" i="6"/>
  <c r="F12" i="6"/>
  <c r="F16" i="6"/>
  <c r="F18" i="6"/>
  <c r="F20" i="6"/>
  <c r="F22" i="6"/>
  <c r="F25" i="6"/>
  <c r="F10" i="6"/>
  <c r="F11" i="6"/>
  <c r="K4" i="7"/>
  <c r="K5" i="7"/>
  <c r="K6" i="7"/>
  <c r="K3" i="7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5" i="7" l="1"/>
  <c r="D6" i="7"/>
  <c r="D7" i="7"/>
  <c r="D8" i="7"/>
  <c r="D9" i="7"/>
  <c r="D4" i="7"/>
  <c r="D10" i="7"/>
  <c r="D3" i="7"/>
  <c r="G11" i="6"/>
  <c r="B4" i="7"/>
  <c r="B5" i="7"/>
  <c r="B6" i="7"/>
  <c r="B7" i="7"/>
  <c r="B8" i="7"/>
  <c r="B9" i="7"/>
  <c r="B10" i="7"/>
  <c r="G21" i="6" l="1"/>
  <c r="G24" i="6"/>
  <c r="G2" i="6"/>
  <c r="M5" i="7" s="1"/>
  <c r="N5" i="7" s="1"/>
  <c r="G5" i="6"/>
  <c r="E9" i="7" s="1"/>
  <c r="G9" i="6"/>
  <c r="G15" i="6"/>
  <c r="G13" i="6"/>
  <c r="G19" i="6"/>
  <c r="G23" i="6"/>
  <c r="G3" i="6"/>
  <c r="M3" i="7" s="1"/>
  <c r="N3" i="7" s="1"/>
  <c r="G8" i="6"/>
  <c r="G6" i="6"/>
  <c r="G12" i="6"/>
  <c r="G16" i="6"/>
  <c r="G18" i="6"/>
  <c r="G20" i="6"/>
  <c r="G22" i="6"/>
  <c r="G25" i="6"/>
  <c r="G10" i="6"/>
  <c r="E8" i="7" s="1"/>
  <c r="G4" i="6"/>
  <c r="M4" i="7" s="1"/>
  <c r="N4" i="7" s="1"/>
  <c r="G7" i="6"/>
  <c r="G14" i="6"/>
  <c r="G17" i="6"/>
  <c r="M6" i="7" l="1"/>
  <c r="N6" i="7" s="1"/>
  <c r="E4" i="7"/>
  <c r="G4" i="7" s="1"/>
  <c r="E10" i="7"/>
  <c r="G10" i="7" s="1"/>
  <c r="E5" i="7"/>
  <c r="G5" i="7" s="1"/>
  <c r="E6" i="7"/>
  <c r="G6" i="7" s="1"/>
  <c r="E3" i="7"/>
  <c r="E7" i="7"/>
  <c r="G7" i="7" s="1"/>
  <c r="G33" i="6"/>
  <c r="G9" i="7"/>
  <c r="G8" i="7"/>
  <c r="L8" i="7"/>
  <c r="F5" i="7" l="1"/>
  <c r="F9" i="7"/>
  <c r="F4" i="7"/>
  <c r="H10" i="7"/>
  <c r="G3" i="7"/>
  <c r="H3" i="7" s="1"/>
  <c r="H9" i="7"/>
  <c r="H5" i="7"/>
  <c r="H6" i="7"/>
  <c r="H8" i="7"/>
  <c r="H7" i="7"/>
  <c r="O3" i="7"/>
  <c r="H4" i="7"/>
  <c r="F10" i="7"/>
  <c r="F3" i="7"/>
  <c r="F6" i="7"/>
  <c r="F8" i="7"/>
  <c r="F7" i="7"/>
  <c r="E12" i="7"/>
  <c r="O6" i="7"/>
  <c r="O4" i="7"/>
  <c r="D12" i="7" l="1"/>
  <c r="C12" i="7"/>
  <c r="O5" i="7" l="1"/>
  <c r="M8" i="7"/>
  <c r="N8" i="7" l="1"/>
  <c r="O8" i="7"/>
</calcChain>
</file>

<file path=xl/sharedStrings.xml><?xml version="1.0" encoding="utf-8"?>
<sst xmlns="http://schemas.openxmlformats.org/spreadsheetml/2006/main" count="106" uniqueCount="57">
  <si>
    <t>商ＣＯ</t>
  </si>
  <si>
    <t>商品名</t>
  </si>
  <si>
    <t>諸経費</t>
  </si>
  <si>
    <t>請求額</t>
  </si>
  <si>
    <t>合　計</t>
    <rPh sb="0" eb="1">
      <t>ア</t>
    </rPh>
    <rPh sb="2" eb="3">
      <t>ケイ</t>
    </rPh>
    <phoneticPr fontId="3"/>
  </si>
  <si>
    <t>仕入数</t>
    <rPh sb="0" eb="2">
      <t>シイレ</t>
    </rPh>
    <rPh sb="2" eb="3">
      <t>スウ</t>
    </rPh>
    <phoneticPr fontId="2"/>
  </si>
  <si>
    <t xml:space="preserve"> </t>
    <phoneticPr fontId="2"/>
  </si>
  <si>
    <t>売価</t>
    <rPh sb="0" eb="2">
      <t>バイカ</t>
    </rPh>
    <phoneticPr fontId="2"/>
  </si>
  <si>
    <t>定価</t>
    <rPh sb="0" eb="2">
      <t>テイカ</t>
    </rPh>
    <phoneticPr fontId="2"/>
  </si>
  <si>
    <t>区分</t>
    <rPh sb="0" eb="2">
      <t>クブン</t>
    </rPh>
    <phoneticPr fontId="2"/>
  </si>
  <si>
    <t>＜商品テーブル＞</t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</si>
  <si>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</si>
  <si>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</si>
  <si>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</si>
  <si>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</si>
  <si>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＜販売先テーブル＞</t>
    <rPh sb="1" eb="3">
      <t>ハンバイ</t>
    </rPh>
    <phoneticPr fontId="2"/>
  </si>
  <si>
    <t>販売先名</t>
    <rPh sb="0" eb="2">
      <t>ハンバイ</t>
    </rPh>
    <phoneticPr fontId="2"/>
  </si>
  <si>
    <t>販売額</t>
    <rPh sb="0" eb="2">
      <t>ハンバイ</t>
    </rPh>
    <phoneticPr fontId="2"/>
  </si>
  <si>
    <t>販　売　先　別　計　算　表</t>
    <rPh sb="0" eb="1">
      <t>ハン</t>
    </rPh>
    <rPh sb="2" eb="3">
      <t>バイ</t>
    </rPh>
    <phoneticPr fontId="2"/>
  </si>
  <si>
    <t>商品</t>
    <phoneticPr fontId="2"/>
  </si>
  <si>
    <t>Ｅ</t>
    <phoneticPr fontId="2"/>
  </si>
  <si>
    <t>Ｆ</t>
    <phoneticPr fontId="2"/>
  </si>
  <si>
    <t>Ｇ</t>
    <phoneticPr fontId="2"/>
  </si>
  <si>
    <t>Ｈ</t>
    <phoneticPr fontId="2"/>
  </si>
  <si>
    <t>仕入額</t>
    <rPh sb="0" eb="2">
      <t>シイレ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</si>
  <si>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</si>
  <si>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＜値引率表＞</t>
    <rPh sb="1" eb="3">
      <t>ネビキ</t>
    </rPh>
    <rPh sb="3" eb="4">
      <t>リツ</t>
    </rPh>
    <rPh sb="4" eb="5">
      <t>ヒョウ</t>
    </rPh>
    <phoneticPr fontId="2"/>
  </si>
  <si>
    <t>仕入数</t>
    <rPh sb="0" eb="3">
      <t>シイレスウ</t>
    </rPh>
    <phoneticPr fontId="2"/>
  </si>
  <si>
    <t>支払額</t>
    <rPh sb="0" eb="3">
      <t>シハライガク</t>
    </rPh>
    <phoneticPr fontId="2"/>
  </si>
  <si>
    <t>平均売価</t>
    <rPh sb="0" eb="2">
      <t>ヘイキン</t>
    </rPh>
    <rPh sb="2" eb="4">
      <t>バイカ</t>
    </rPh>
    <phoneticPr fontId="2"/>
  </si>
  <si>
    <t>平均利益率</t>
    <rPh sb="0" eb="2">
      <t>ヘイキン</t>
    </rPh>
    <rPh sb="2" eb="4">
      <t>リエキ</t>
    </rPh>
    <rPh sb="4" eb="5">
      <t>リツ</t>
    </rPh>
    <phoneticPr fontId="2"/>
  </si>
  <si>
    <t>判定</t>
    <rPh sb="0" eb="2">
      <t>ハンテイ</t>
    </rPh>
    <phoneticPr fontId="2"/>
  </si>
  <si>
    <t>商　品　別　総　括　表</t>
    <rPh sb="4" eb="5">
      <t>ベツ</t>
    </rPh>
    <rPh sb="6" eb="7">
      <t>ソウ</t>
    </rPh>
    <rPh sb="8" eb="9">
      <t>カツ</t>
    </rPh>
    <rPh sb="10" eb="11">
      <t>ヒョウ</t>
    </rPh>
    <phoneticPr fontId="2"/>
  </si>
  <si>
    <t>Ｉ</t>
    <phoneticPr fontId="2"/>
  </si>
  <si>
    <t>Ｊ</t>
    <phoneticPr fontId="2"/>
  </si>
  <si>
    <t>Ｋ</t>
    <phoneticPr fontId="2"/>
  </si>
  <si>
    <t>Ｌ</t>
    <phoneticPr fontId="2"/>
  </si>
  <si>
    <t>未入金額</t>
    <rPh sb="0" eb="3">
      <t>ミニュウキン</t>
    </rPh>
    <rPh sb="3" eb="4">
      <t>ガク</t>
    </rPh>
    <phoneticPr fontId="2"/>
  </si>
  <si>
    <t>＜割引率テーブル＞</t>
    <rPh sb="1" eb="3">
      <t>ワリビキ</t>
    </rPh>
    <rPh sb="3" eb="4">
      <t>リツ</t>
    </rPh>
    <phoneticPr fontId="2"/>
  </si>
  <si>
    <t>割引率</t>
    <rPh sb="0" eb="2">
      <t>ワリビキ</t>
    </rPh>
    <rPh sb="2" eb="3">
      <t>リツ</t>
    </rPh>
    <phoneticPr fontId="2"/>
  </si>
  <si>
    <t>共栄商事</t>
    <rPh sb="0" eb="2">
      <t>キョウエイ</t>
    </rPh>
    <rPh sb="2" eb="4">
      <t>ショウジ</t>
    </rPh>
    <phoneticPr fontId="2"/>
  </si>
  <si>
    <t>平成総業</t>
    <rPh sb="0" eb="2">
      <t>ヘイセイ</t>
    </rPh>
    <rPh sb="2" eb="4">
      <t>ソウギョウ</t>
    </rPh>
    <phoneticPr fontId="3"/>
  </si>
  <si>
    <t>鈴木商店</t>
    <rPh sb="0" eb="2">
      <t>スズキ</t>
    </rPh>
    <rPh sb="2" eb="4">
      <t>ショウテン</t>
    </rPh>
    <phoneticPr fontId="2"/>
  </si>
  <si>
    <t>泉ストア</t>
    <rPh sb="0" eb="1">
      <t>イズミ</t>
    </rPh>
    <phoneticPr fontId="2"/>
  </si>
  <si>
    <t>販売日</t>
    <rPh sb="0" eb="3">
      <t>ハンバイビ</t>
    </rPh>
    <phoneticPr fontId="2"/>
  </si>
  <si>
    <t>合　計</t>
    <phoneticPr fontId="2"/>
  </si>
  <si>
    <t>101B</t>
    <phoneticPr fontId="2"/>
  </si>
  <si>
    <t>102A</t>
    <phoneticPr fontId="2"/>
  </si>
  <si>
    <t>103C</t>
    <phoneticPr fontId="2"/>
  </si>
  <si>
    <t>104A</t>
    <phoneticPr fontId="2"/>
  </si>
  <si>
    <t>A</t>
    <phoneticPr fontId="2"/>
  </si>
  <si>
    <t>B</t>
    <phoneticPr fontId="2"/>
  </si>
  <si>
    <t>C</t>
    <phoneticPr fontId="2"/>
  </si>
  <si>
    <t>103C</t>
    <phoneticPr fontId="3"/>
  </si>
  <si>
    <t>101B</t>
    <phoneticPr fontId="3"/>
  </si>
  <si>
    <t>102A</t>
    <phoneticPr fontId="3"/>
  </si>
  <si>
    <t>104A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</si>
</sst>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0" fillId="0" borderId="0" xfId="0" applyNumberFormat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3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9" xfId="1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9" xfId="0" applyFont="1" applyBorder="1">
      <alignment vertical="center"/>
    </xf>
    <xf numFmtId="38" fontId="0" fillId="0" borderId="0" xfId="1" applyFont="1">
      <alignment vertical="center"/>
    </xf>
    <xf numFmtId="0" fontId="4" fillId="0" borderId="11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176" fontId="4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38" fontId="4" fillId="0" borderId="5" xfId="0" applyNumberFormat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4" xfId="0" applyNumberFormat="1" applyFont="1" applyBorder="1">
      <alignment vertical="center"/>
    </xf>
    <xf numFmtId="10" fontId="6" fillId="0" borderId="0" xfId="0" applyNumberFormat="1" applyFont="1">
      <alignment vertical="center"/>
    </xf>
    <xf numFmtId="38" fontId="0" fillId="0" borderId="5" xfId="1" applyFont="1" applyBorder="1" applyAlignment="1">
      <alignment horizontal="center" vertical="center"/>
    </xf>
    <xf numFmtId="38" fontId="4" fillId="0" borderId="5" xfId="1" applyFont="1" applyFill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4" xfId="1" applyFont="1" applyFill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0" fillId="0" borderId="1" xfId="0" applyNumberFormat="1" applyBorder="1">
      <alignment vertical="center"/>
    </xf>
    <xf numFmtId="14" fontId="0" fillId="0" borderId="9" xfId="0" applyNumberForma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" xfId="1" applyFont="1" applyFill="1" applyBorder="1">
      <alignment vertical="center"/>
    </xf>
    <xf numFmtId="176" fontId="0" fillId="0" borderId="1" xfId="5" applyNumberFormat="1" applyFont="1" applyFill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パーセント" xfId="5" builtinId="5"/>
    <cellStyle name="パーセント 2" xfId="2" xr:uid="{00000000-0005-0000-0000-000000000000}"/>
    <cellStyle name="桁区切り" xfId="1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colors>
    <mruColors>
      <color rgb="FFCCFF33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平均売価の構成比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計算表!$F$2</c:f>
              <c:strCache>
                <c:ptCount val="1"/>
                <c:pt idx="0">
                  <c:v>平均売価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計算表!$B$3:$B$10</c:f>
              <c:strCache>
                <c:ptCount val="8"/>
                <c:pt idx="0">
                  <c:v>商品Ｅ</c:v>
                </c:pt>
                <c:pt idx="1">
                  <c:v>商品Ｆ</c:v>
                </c:pt>
                <c:pt idx="2">
                  <c:v>商品Ｇ</c:v>
                </c:pt>
                <c:pt idx="3">
                  <c:v>商品Ｈ</c:v>
                </c:pt>
                <c:pt idx="4">
                  <c:v>商品Ｉ</c:v>
                </c:pt>
                <c:pt idx="5">
                  <c:v>商品Ｊ</c:v>
                </c:pt>
                <c:pt idx="6">
                  <c:v>商品Ｋ</c:v>
                </c:pt>
                <c:pt idx="7">
                  <c:v>商品Ｌ</c:v>
                </c:pt>
              </c:strCache>
            </c:strRef>
          </c:cat>
          <c:val>
            <c:numRef>
              <c:f>計算表!$F$3:$F$10</c:f>
              <c:numCache>
                <c:formatCode>#,##0_);[Red]\(#,##0\)</c:formatCode>
                <c:ptCount val="8"/>
                <c:pt idx="0">
                  <c:v>2214</c:v>
                </c:pt>
                <c:pt idx="1">
                  <c:v>2340</c:v>
                </c:pt>
                <c:pt idx="2">
                  <c:v>1573</c:v>
                </c:pt>
                <c:pt idx="3">
                  <c:v>2955</c:v>
                </c:pt>
                <c:pt idx="4">
                  <c:v>2443</c:v>
                </c:pt>
                <c:pt idx="5">
                  <c:v>1753</c:v>
                </c:pt>
                <c:pt idx="6">
                  <c:v>1722</c:v>
                </c:pt>
                <c:pt idx="7">
                  <c:v>2850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6-46A4-BD18-0E66B939EAC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paperSize="13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販売</a:t>
            </a:r>
            <a:r>
              <a:rPr lang="ja-JP" sz="1100" b="0"/>
              <a:t>額の比較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計算表!$M$2</c:f>
              <c:strCache>
                <c:ptCount val="1"/>
                <c:pt idx="0">
                  <c:v>販売額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計算表!$K$3:$K$6</c:f>
              <c:strCache>
                <c:ptCount val="4"/>
                <c:pt idx="0">
                  <c:v>泉ストア</c:v>
                </c:pt>
                <c:pt idx="1">
                  <c:v>共栄商事</c:v>
                </c:pt>
                <c:pt idx="2">
                  <c:v>鈴木商店</c:v>
                </c:pt>
                <c:pt idx="3">
                  <c:v>平成総業</c:v>
                </c:pt>
              </c:strCache>
            </c:strRef>
          </c:cat>
          <c:val>
            <c:numRef>
              <c:f>計算表!$M$3:$M$6</c:f>
              <c:numCache>
                <c:formatCode>#,##0_);[Red]\(#,##0\)</c:formatCode>
                <c:ptCount val="4"/>
                <c:pt idx="0">
                  <c:v>1201950</c:v>
                </c:pt>
                <c:pt idx="1">
                  <c:v>1060210</c:v>
                </c:pt>
                <c:pt idx="2">
                  <c:v>1183140</c:v>
                </c:pt>
                <c:pt idx="3">
                  <c:v>1080850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64B-B34F-81E95CFD2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96032"/>
        <c:axId val="113210112"/>
      </c:barChart>
      <c:catAx>
        <c:axId val="113196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3210112"/>
        <c:crosses val="autoZero"/>
        <c:auto val="1"/>
        <c:lblAlgn val="ctr"/>
        <c:lblOffset val="100"/>
        <c:noMultiLvlLbl val="0"/>
      </c:catAx>
      <c:valAx>
        <c:axId val="113210112"/>
        <c:scaling>
          <c:orientation val="minMax"/>
          <c:min val="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13196032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100"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15</xdr:row>
      <xdr:rowOff>109537</xdr:rowOff>
    </xdr:from>
    <xdr:to>
      <xdr:col>6</xdr:col>
      <xdr:colOff>742950</xdr:colOff>
      <xdr:row>31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304799</xdr:colOff>
      <xdr:row>14</xdr:row>
      <xdr:rowOff>61912</xdr:rowOff>
    </xdr:from>
    <xdr:to>
      <xdr:col>16</xdr:col>
      <xdr:colOff>361949</xdr:colOff>
      <xdr:row>30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"/>
  <sheetViews>
    <sheetView tabSelected="1" zoomScaleNormal="100" workbookViewId="0"/>
  </sheetViews>
  <sheetFormatPr defaultRowHeight="13.5"/>
  <cols>
    <col min="1" max="1" width="7.5" bestFit="1" customWidth="1"/>
    <col min="2" max="4" width="5.5" bestFit="1" customWidth="1"/>
    <col min="6" max="6" width="7.5" bestFit="1" customWidth="1"/>
    <col min="7" max="8" width="9.5" bestFit="1" customWidth="1"/>
    <col min="10" max="10" width="7.5" customWidth="1"/>
    <col min="11" max="11" width="5.5" bestFit="1" customWidth="1"/>
    <col min="12" max="12" width="6.5" bestFit="1" customWidth="1"/>
    <col min="13" max="13" width="9" customWidth="1"/>
    <col min="14" max="14" width="5.5" bestFit="1" customWidth="1"/>
    <col min="15" max="15" width="7.5" bestFit="1" customWidth="1"/>
    <col min="16" max="16" width="9.125" customWidth="1"/>
    <col min="17" max="17" width="9.5" bestFit="1" customWidth="1"/>
    <col min="18" max="18" width="9.5" customWidth="1"/>
    <col min="19" max="19" width="5.125" customWidth="1"/>
    <col min="20" max="20" width="7.5" bestFit="1" customWidth="1"/>
    <col min="21" max="21" width="9.5" bestFit="1" customWidth="1"/>
    <col min="22" max="22" width="10.5" customWidth="1"/>
    <col min="24" max="24" width="10.5" bestFit="1" customWidth="1"/>
  </cols>
  <sheetData>
    <row r="1" spans="1:24">
      <c r="A1" t="s">
        <v>26</v>
      </c>
      <c r="F1" t="s">
        <v>15</v>
      </c>
      <c r="J1" t="s">
        <v>10</v>
      </c>
      <c r="N1" t="s">
        <v>38</v>
      </c>
    </row>
    <row r="2" spans="1:24">
      <c r="A2" s="52" t="s">
        <v>0</v>
      </c>
      <c r="B2" s="52" t="s">
        <v>27</v>
      </c>
      <c r="C2" s="52"/>
      <c r="D2" s="52"/>
      <c r="F2" s="7" t="s">
        <v>11</v>
      </c>
      <c r="G2" s="13" t="s">
        <v>16</v>
      </c>
      <c r="H2" s="13" t="s">
        <v>37</v>
      </c>
      <c r="J2" s="7" t="s">
        <v>0</v>
      </c>
      <c r="K2" s="7" t="s">
        <v>19</v>
      </c>
      <c r="L2" s="13" t="s">
        <v>8</v>
      </c>
      <c r="N2" s="7" t="s">
        <v>9</v>
      </c>
      <c r="O2" s="7" t="s">
        <v>39</v>
      </c>
    </row>
    <row r="3" spans="1:24">
      <c r="A3" s="52"/>
      <c r="B3" s="14">
        <v>1</v>
      </c>
      <c r="C3" s="14">
        <v>61</v>
      </c>
      <c r="D3" s="14">
        <v>121</v>
      </c>
      <c r="F3" s="14" t="s">
        <v>46</v>
      </c>
      <c r="G3" s="14" t="s">
        <v>43</v>
      </c>
      <c r="H3" s="15">
        <v>278500</v>
      </c>
      <c r="J3" s="6">
        <v>11</v>
      </c>
      <c r="K3" s="14" t="s">
        <v>20</v>
      </c>
      <c r="L3" s="18">
        <v>2440</v>
      </c>
      <c r="N3" s="14" t="s">
        <v>50</v>
      </c>
      <c r="O3" s="25">
        <v>9.6000000000000002E-2</v>
      </c>
      <c r="X3" s="27"/>
    </row>
    <row r="4" spans="1:24">
      <c r="A4" s="6">
        <v>10</v>
      </c>
      <c r="B4" s="32">
        <v>7.2999999999999995E-2</v>
      </c>
      <c r="C4" s="32">
        <v>7.4999999999999997E-2</v>
      </c>
      <c r="D4" s="32">
        <v>7.6999999999999999E-2</v>
      </c>
      <c r="F4" s="14" t="s">
        <v>47</v>
      </c>
      <c r="G4" s="14" t="s">
        <v>40</v>
      </c>
      <c r="H4" s="15">
        <v>316700</v>
      </c>
      <c r="J4" s="6">
        <v>12</v>
      </c>
      <c r="K4" s="14" t="s">
        <v>21</v>
      </c>
      <c r="L4" s="18">
        <v>2570</v>
      </c>
      <c r="N4" s="14" t="s">
        <v>51</v>
      </c>
      <c r="O4" s="25">
        <v>8.6999999999999994E-2</v>
      </c>
      <c r="X4" s="27"/>
    </row>
    <row r="5" spans="1:24">
      <c r="A5" s="6">
        <v>20</v>
      </c>
      <c r="B5" s="32">
        <v>6.6000000000000003E-2</v>
      </c>
      <c r="C5" s="32">
        <v>6.8000000000000005E-2</v>
      </c>
      <c r="D5" s="32">
        <v>7.0000000000000007E-2</v>
      </c>
      <c r="F5" s="14" t="s">
        <v>48</v>
      </c>
      <c r="G5" s="14" t="s">
        <v>42</v>
      </c>
      <c r="H5" s="15">
        <v>198400</v>
      </c>
      <c r="J5" s="6">
        <v>21</v>
      </c>
      <c r="K5" s="14" t="s">
        <v>22</v>
      </c>
      <c r="L5" s="18">
        <v>1740</v>
      </c>
      <c r="N5" s="14" t="s">
        <v>52</v>
      </c>
      <c r="O5" s="25">
        <v>7.8E-2</v>
      </c>
      <c r="X5" s="27"/>
    </row>
    <row r="6" spans="1:24">
      <c r="A6" s="6">
        <v>30</v>
      </c>
      <c r="B6" s="32">
        <v>5.8999999999999997E-2</v>
      </c>
      <c r="C6" s="32">
        <v>6.0999999999999999E-2</v>
      </c>
      <c r="D6" s="32">
        <v>6.3E-2</v>
      </c>
      <c r="F6" s="14" t="s">
        <v>49</v>
      </c>
      <c r="G6" s="14" t="s">
        <v>41</v>
      </c>
      <c r="H6" s="15">
        <v>217300</v>
      </c>
      <c r="J6" s="6">
        <v>22</v>
      </c>
      <c r="K6" s="14" t="s">
        <v>23</v>
      </c>
      <c r="L6" s="18">
        <v>3260</v>
      </c>
      <c r="X6" s="27"/>
    </row>
    <row r="7" spans="1:24">
      <c r="A7" s="6">
        <v>40</v>
      </c>
      <c r="B7" s="32">
        <v>5.1999999999999998E-2</v>
      </c>
      <c r="C7" s="32">
        <v>5.3999999999999999E-2</v>
      </c>
      <c r="D7" s="32">
        <v>5.6000000000000001E-2</v>
      </c>
      <c r="J7" s="6">
        <v>31</v>
      </c>
      <c r="K7" s="14" t="s">
        <v>33</v>
      </c>
      <c r="L7" s="18">
        <v>2680</v>
      </c>
    </row>
    <row r="8" spans="1:24">
      <c r="J8" s="6">
        <v>32</v>
      </c>
      <c r="K8" s="14" t="s">
        <v>34</v>
      </c>
      <c r="L8" s="18">
        <v>1930</v>
      </c>
    </row>
    <row r="9" spans="1:24">
      <c r="J9" s="6">
        <v>41</v>
      </c>
      <c r="K9" s="14" t="s">
        <v>35</v>
      </c>
      <c r="L9" s="18">
        <v>1890</v>
      </c>
    </row>
    <row r="10" spans="1:24">
      <c r="J10" s="6">
        <v>42</v>
      </c>
      <c r="K10" s="14" t="s">
        <v>36</v>
      </c>
      <c r="L10" s="18">
        <v>3140</v>
      </c>
    </row>
    <row r="16" spans="1:24">
      <c r="Q16" s="20"/>
      <c r="R16" s="20"/>
    </row>
    <row r="17" spans="11:18">
      <c r="P17" s="31"/>
      <c r="Q17" s="31"/>
      <c r="R17" s="31"/>
    </row>
    <row r="18" spans="11:18">
      <c r="P18" s="31"/>
      <c r="Q18" s="31"/>
      <c r="R18" s="31"/>
    </row>
    <row r="19" spans="11:18">
      <c r="P19" s="31"/>
      <c r="Q19" s="31"/>
      <c r="R19" s="31"/>
    </row>
    <row r="25" spans="11:18">
      <c r="K25" t="s">
        <v>6</v>
      </c>
    </row>
  </sheetData>
  <sortState xmlns:xlrd2="http://schemas.microsoft.com/office/spreadsheetml/2017/richdata2" ref="V19:V21">
    <sortCondition ref="V19:V21"/>
  </sortState>
  <mergeCells count="2">
    <mergeCell ref="A2:A3"/>
    <mergeCell ref="B2:D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zoomScaleNormal="100" workbookViewId="0"/>
  </sheetViews>
  <sheetFormatPr defaultRowHeight="13.5"/>
  <cols>
    <col min="1" max="1" width="7.5" bestFit="1" customWidth="1"/>
    <col min="2" max="2" width="7.5" customWidth="1"/>
    <col min="3" max="3" width="8.5" bestFit="1" customWidth="1"/>
    <col min="4" max="4" width="7.5" bestFit="1" customWidth="1"/>
  </cols>
  <sheetData>
    <row r="1" spans="1:4">
      <c r="A1" s="3" t="s">
        <v>0</v>
      </c>
      <c r="B1" s="4" t="s">
        <v>5</v>
      </c>
      <c r="C1" s="4" t="s">
        <v>24</v>
      </c>
      <c r="D1" s="29" t="s">
        <v>25</v>
      </c>
    </row>
    <row r="2" spans="1:4">
      <c r="A2" s="30">
        <v>11</v>
      </c>
      <c r="B2" s="18">
        <v>124</v>
      </c>
      <c r="C2" s="22">
        <v>234100</v>
      </c>
      <c r="D2" s="46">
        <f>ROUNDUP(C2*INDEX(テーブル!$B$4:$D$7,MATCH(A2,テーブル!$A$4:$A$7,1),MATCH(B2,テーブル!$B$3:$D$3,1)),-1)</f>
        <v>18030</v>
      </c>
    </row>
    <row r="3" spans="1:4">
      <c r="A3" s="30">
        <v>12</v>
      </c>
      <c r="B3" s="18">
        <v>110</v>
      </c>
      <c r="C3" s="22">
        <v>220200</v>
      </c>
      <c r="D3" s="46">
        <f>ROUNDUP(C3*INDEX(テーブル!$B$4:$D$7,MATCH(A3,テーブル!$A$4:$A$7,1),MATCH(B3,テーブル!$B$3:$D$3,1)),-1)</f>
        <v>16520</v>
      </c>
    </row>
    <row r="4" spans="1:4">
      <c r="A4" s="30">
        <v>21</v>
      </c>
      <c r="B4" s="18">
        <v>127</v>
      </c>
      <c r="C4" s="22">
        <v>176800</v>
      </c>
      <c r="D4" s="46">
        <f>ROUNDUP(C4*INDEX(テーブル!$B$4:$D$7,MATCH(A4,テーブル!$A$4:$A$7,1),MATCH(B4,テーブル!$B$3:$D$3,1)),-1)</f>
        <v>12380</v>
      </c>
    </row>
    <row r="5" spans="1:4">
      <c r="A5" s="30">
        <v>22</v>
      </c>
      <c r="B5" s="18">
        <v>85</v>
      </c>
      <c r="C5" s="22">
        <v>214700</v>
      </c>
      <c r="D5" s="46">
        <f>ROUNDUP(C5*INDEX(テーブル!$B$4:$D$7,MATCH(A5,テーブル!$A$4:$A$7,1),MATCH(B5,テーブル!$B$3:$D$3,1)),-1)</f>
        <v>14600</v>
      </c>
    </row>
    <row r="6" spans="1:4">
      <c r="A6" s="26">
        <v>31</v>
      </c>
      <c r="B6" s="18">
        <v>74</v>
      </c>
      <c r="C6" s="22">
        <v>159700</v>
      </c>
      <c r="D6" s="46">
        <f>ROUNDUP(C6*INDEX(テーブル!$B$4:$D$7,MATCH(A6,テーブル!$A$4:$A$7,1),MATCH(B6,テーブル!$B$3:$D$3,1)),-1)</f>
        <v>9750</v>
      </c>
    </row>
    <row r="7" spans="1:4">
      <c r="A7" s="8">
        <v>32</v>
      </c>
      <c r="B7" s="18">
        <v>53</v>
      </c>
      <c r="C7" s="22">
        <v>81900</v>
      </c>
      <c r="D7" s="46">
        <f>ROUNDUP(C7*INDEX(テーブル!$B$4:$D$7,MATCH(A7,テーブル!$A$4:$A$7,1),MATCH(B7,テーブル!$B$3:$D$3,1)),-1)</f>
        <v>4840</v>
      </c>
    </row>
    <row r="8" spans="1:4">
      <c r="A8" s="8">
        <v>41</v>
      </c>
      <c r="B8" s="18">
        <v>121</v>
      </c>
      <c r="C8" s="22">
        <v>146200</v>
      </c>
      <c r="D8" s="46">
        <f>ROUNDUP(C8*INDEX(テーブル!$B$4:$D$7,MATCH(A8,テーブル!$A$4:$A$7,1),MATCH(B8,テーブル!$B$3:$D$3,1)),-1)</f>
        <v>8190</v>
      </c>
    </row>
    <row r="9" spans="1:4">
      <c r="A9" s="8">
        <v>42</v>
      </c>
      <c r="B9" s="18">
        <v>61</v>
      </c>
      <c r="C9" s="22">
        <v>152300</v>
      </c>
      <c r="D9" s="46">
        <f>ROUNDUP(C9*INDEX(テーブル!$B$4:$D$7,MATCH(A9,テーブル!$A$4:$A$7,1),MATCH(B9,テーブル!$B$3:$D$3,1)),-1)</f>
        <v>8230</v>
      </c>
    </row>
    <row r="10" spans="1:4">
      <c r="A10" s="21">
        <v>11</v>
      </c>
      <c r="B10" s="18">
        <v>96</v>
      </c>
      <c r="C10" s="22">
        <v>185200</v>
      </c>
      <c r="D10" s="46">
        <f>ROUNDUP(C10*INDEX(テーブル!$B$4:$D$7,MATCH(A10,テーブル!$A$4:$A$7,1),MATCH(B10,テーブル!$B$3:$D$3,1)),-1)</f>
        <v>13890</v>
      </c>
    </row>
    <row r="11" spans="1:4">
      <c r="A11" s="21">
        <v>12</v>
      </c>
      <c r="B11" s="18">
        <v>46</v>
      </c>
      <c r="C11" s="22">
        <v>94600</v>
      </c>
      <c r="D11" s="46">
        <f>ROUNDUP(C11*INDEX(テーブル!$B$4:$D$7,MATCH(A11,テーブル!$A$4:$A$7,1),MATCH(B11,テーブル!$B$3:$D$3,1)),-1)</f>
        <v>6910</v>
      </c>
    </row>
    <row r="12" spans="1:4">
      <c r="A12" s="21">
        <v>21</v>
      </c>
      <c r="B12" s="18">
        <v>90</v>
      </c>
      <c r="C12" s="22">
        <v>125300</v>
      </c>
      <c r="D12" s="46">
        <f>ROUNDUP(C12*INDEX(テーブル!$B$4:$D$7,MATCH(A12,テーブル!$A$4:$A$7,1),MATCH(B12,テーブル!$B$3:$D$3,1)),-1)</f>
        <v>8530</v>
      </c>
    </row>
    <row r="13" spans="1:4">
      <c r="A13" s="21">
        <v>22</v>
      </c>
      <c r="B13" s="18">
        <v>43</v>
      </c>
      <c r="C13" s="22">
        <v>110200</v>
      </c>
      <c r="D13" s="46">
        <f>ROUNDUP(C13*INDEX(テーブル!$B$4:$D$7,MATCH(A13,テーブル!$A$4:$A$7,1),MATCH(B13,テーブル!$B$3:$D$3,1)),-1)</f>
        <v>7280</v>
      </c>
    </row>
    <row r="14" spans="1:4">
      <c r="A14" s="8">
        <v>31</v>
      </c>
      <c r="B14" s="18">
        <v>132</v>
      </c>
      <c r="C14" s="22">
        <v>283100</v>
      </c>
      <c r="D14" s="46">
        <f>ROUNDUP(C14*INDEX(テーブル!$B$4:$D$7,MATCH(A14,テーブル!$A$4:$A$7,1),MATCH(B14,テーブル!$B$3:$D$3,1)),-1)</f>
        <v>17840</v>
      </c>
    </row>
    <row r="15" spans="1:4">
      <c r="A15" s="8">
        <v>32</v>
      </c>
      <c r="B15" s="18">
        <v>116</v>
      </c>
      <c r="C15" s="22">
        <v>179200</v>
      </c>
      <c r="D15" s="46">
        <f>ROUNDUP(C15*INDEX(テーブル!$B$4:$D$7,MATCH(A15,テーブル!$A$4:$A$7,1),MATCH(B15,テーブル!$B$3:$D$3,1)),-1)</f>
        <v>10940</v>
      </c>
    </row>
    <row r="16" spans="1:4">
      <c r="A16" s="8">
        <v>41</v>
      </c>
      <c r="B16" s="18">
        <v>143</v>
      </c>
      <c r="C16" s="22">
        <v>215300</v>
      </c>
      <c r="D16" s="46">
        <f>ROUNDUP(C16*INDEX(テーブル!$B$4:$D$7,MATCH(A16,テーブル!$A$4:$A$7,1),MATCH(B16,テーブル!$B$3:$D$3,1)),-1)</f>
        <v>12060</v>
      </c>
    </row>
    <row r="17" spans="1:4">
      <c r="A17" s="8">
        <v>42</v>
      </c>
      <c r="B17" s="18">
        <v>56</v>
      </c>
      <c r="C17" s="22">
        <v>140700</v>
      </c>
      <c r="D17" s="46">
        <f>ROUNDUP(C17*INDEX(テーブル!$B$4:$D$7,MATCH(A17,テーブル!$A$4:$A$7,1),MATCH(B17,テーブル!$B$3:$D$3,1)),-1)</f>
        <v>7320</v>
      </c>
    </row>
    <row r="18" spans="1:4">
      <c r="A18" s="21">
        <v>11</v>
      </c>
      <c r="B18" s="18">
        <v>76</v>
      </c>
      <c r="C18" s="22">
        <v>147500</v>
      </c>
      <c r="D18" s="46">
        <f>ROUNDUP(C18*INDEX(テーブル!$B$4:$D$7,MATCH(A18,テーブル!$A$4:$A$7,1),MATCH(B18,テーブル!$B$3:$D$3,1)),-1)</f>
        <v>11070</v>
      </c>
    </row>
    <row r="19" spans="1:4">
      <c r="A19" s="21">
        <v>12</v>
      </c>
      <c r="B19" s="18">
        <v>60</v>
      </c>
      <c r="C19" s="22">
        <v>123400</v>
      </c>
      <c r="D19" s="46">
        <f>ROUNDUP(C19*INDEX(テーブル!$B$4:$D$7,MATCH(A19,テーブル!$A$4:$A$7,1),MATCH(B19,テーブル!$B$3:$D$3,1)),-1)</f>
        <v>9010</v>
      </c>
    </row>
    <row r="20" spans="1:4">
      <c r="A20" s="21">
        <v>21</v>
      </c>
      <c r="B20" s="18">
        <v>136</v>
      </c>
      <c r="C20" s="22">
        <v>187400</v>
      </c>
      <c r="D20" s="46">
        <f>ROUNDUP(C20*INDEX(テーブル!$B$4:$D$7,MATCH(A20,テーブル!$A$4:$A$7,1),MATCH(B20,テーブル!$B$3:$D$3,1)),-1)</f>
        <v>13120</v>
      </c>
    </row>
    <row r="21" spans="1:4">
      <c r="A21" s="21">
        <v>22</v>
      </c>
      <c r="B21" s="18">
        <v>62</v>
      </c>
      <c r="C21" s="22">
        <v>161700</v>
      </c>
      <c r="D21" s="46">
        <f>ROUNDUP(C21*INDEX(テーブル!$B$4:$D$7,MATCH(A21,テーブル!$A$4:$A$7,1),MATCH(B21,テーブル!$B$3:$D$3,1)),-1)</f>
        <v>11000</v>
      </c>
    </row>
    <row r="22" spans="1:4">
      <c r="A22" s="8">
        <v>31</v>
      </c>
      <c r="B22" s="18">
        <v>130</v>
      </c>
      <c r="C22" s="22">
        <v>265800</v>
      </c>
      <c r="D22" s="46">
        <f>ROUNDUP(C22*INDEX(テーブル!$B$4:$D$7,MATCH(A22,テーブル!$A$4:$A$7,1),MATCH(B22,テーブル!$B$3:$D$3,1)),-1)</f>
        <v>16750</v>
      </c>
    </row>
    <row r="23" spans="1:4">
      <c r="A23" s="8">
        <v>32</v>
      </c>
      <c r="B23" s="18">
        <v>51</v>
      </c>
      <c r="C23" s="22">
        <v>78800</v>
      </c>
      <c r="D23" s="46">
        <f>ROUNDUP(C23*INDEX(テーブル!$B$4:$D$7,MATCH(A23,テーブル!$A$4:$A$7,1),MATCH(B23,テーブル!$B$3:$D$3,1)),-1)</f>
        <v>4650</v>
      </c>
    </row>
    <row r="24" spans="1:4">
      <c r="A24" s="8">
        <v>41</v>
      </c>
      <c r="B24" s="18">
        <v>66</v>
      </c>
      <c r="C24" s="22">
        <v>129600</v>
      </c>
      <c r="D24" s="46">
        <f>ROUNDUP(C24*INDEX(テーブル!$B$4:$D$7,MATCH(A24,テーブル!$A$4:$A$7,1),MATCH(B24,テーブル!$B$3:$D$3,1)),-1)</f>
        <v>7000</v>
      </c>
    </row>
    <row r="25" spans="1:4" ht="14.25" thickBot="1">
      <c r="A25" s="10">
        <v>42</v>
      </c>
      <c r="B25" s="19">
        <v>49</v>
      </c>
      <c r="C25" s="40">
        <v>121700</v>
      </c>
      <c r="D25" s="47">
        <f>ROUNDUP(C25*INDEX(テーブル!$B$4:$D$7,MATCH(A25,テーブル!$A$4:$A$7,1),MATCH(B25,テーブル!$B$3:$D$3,1)),-1)</f>
        <v>6330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"/>
  <sheetViews>
    <sheetView zoomScaleNormal="100" workbookViewId="0"/>
  </sheetViews>
  <sheetFormatPr defaultRowHeight="13.5"/>
  <cols>
    <col min="1" max="1" width="10.5" bestFit="1" customWidth="1"/>
    <col min="2" max="2" width="7.5" bestFit="1" customWidth="1"/>
    <col min="3" max="3" width="9.5" bestFit="1" customWidth="1"/>
    <col min="4" max="4" width="7.5" customWidth="1"/>
    <col min="5" max="5" width="7.5" bestFit="1" customWidth="1"/>
    <col min="6" max="6" width="6.5" bestFit="1" customWidth="1"/>
    <col min="7" max="7" width="10.5" bestFit="1" customWidth="1"/>
    <col min="8" max="8" width="5.625" customWidth="1"/>
    <col min="9" max="9" width="9.125" customWidth="1"/>
    <col min="10" max="10" width="7.5" bestFit="1" customWidth="1"/>
    <col min="11" max="11" width="10.5" bestFit="1" customWidth="1"/>
    <col min="12" max="12" width="7.5" bestFit="1" customWidth="1"/>
    <col min="13" max="13" width="10.5" bestFit="1" customWidth="1"/>
    <col min="14" max="14" width="8.75" customWidth="1"/>
    <col min="16" max="16" width="19.5" customWidth="1"/>
  </cols>
  <sheetData>
    <row r="1" spans="1:7">
      <c r="A1" s="42" t="s">
        <v>44</v>
      </c>
      <c r="B1" s="17" t="s">
        <v>11</v>
      </c>
      <c r="C1" s="17" t="s">
        <v>12</v>
      </c>
      <c r="D1" s="17" t="s">
        <v>0</v>
      </c>
      <c r="E1" s="17" t="s">
        <v>13</v>
      </c>
      <c r="F1" s="17" t="s">
        <v>7</v>
      </c>
      <c r="G1" s="29" t="s">
        <v>14</v>
      </c>
    </row>
    <row r="2" spans="1:7">
      <c r="A2" s="45">
        <v>45017</v>
      </c>
      <c r="B2" s="6" t="s">
        <v>53</v>
      </c>
      <c r="C2" s="14" t="str">
        <f>VLOOKUP(B2,テーブル!$F$3:$H$6,2,0)</f>
        <v>鈴木商店</v>
      </c>
      <c r="D2" s="6">
        <v>31</v>
      </c>
      <c r="E2" s="6">
        <v>60</v>
      </c>
      <c r="F2" s="22">
        <f>ROUNDDOWN(VLOOKUP(D2,テーブル!$J$3:$L$10,3,0)*(1-VLOOKUP(RIGHT(B2,1),テーブル!$N$3:$O$5,2,0)),-1)</f>
        <v>2470</v>
      </c>
      <c r="G2" s="38">
        <f t="shared" ref="G2:G25" si="0">F2*E2</f>
        <v>148200</v>
      </c>
    </row>
    <row r="3" spans="1:7">
      <c r="A3" s="45">
        <v>45018</v>
      </c>
      <c r="B3" s="6" t="s">
        <v>54</v>
      </c>
      <c r="C3" s="14" t="str">
        <f>VLOOKUP(B3,テーブル!$F$3:$H$6,2,0)</f>
        <v>泉ストア</v>
      </c>
      <c r="D3" s="6">
        <v>22</v>
      </c>
      <c r="E3" s="6">
        <v>42</v>
      </c>
      <c r="F3" s="22">
        <f>ROUNDDOWN(VLOOKUP(D3,テーブル!$J$3:$L$10,3,0)*(1-VLOOKUP(RIGHT(B3,1),テーブル!$N$3:$O$5,2,0)),-1)</f>
        <v>2970</v>
      </c>
      <c r="G3" s="38">
        <f t="shared" si="0"/>
        <v>124740</v>
      </c>
    </row>
    <row r="4" spans="1:7">
      <c r="A4" s="45">
        <v>45019</v>
      </c>
      <c r="B4" s="6" t="s">
        <v>55</v>
      </c>
      <c r="C4" s="14" t="str">
        <f>VLOOKUP(B4,テーブル!$F$3:$H$6,2,0)</f>
        <v>共栄商事</v>
      </c>
      <c r="D4" s="6">
        <v>42</v>
      </c>
      <c r="E4" s="6">
        <v>61</v>
      </c>
      <c r="F4" s="22">
        <f>ROUNDDOWN(VLOOKUP(D4,テーブル!$J$3:$L$10,3,0)*(1-VLOOKUP(RIGHT(B4,1),テーブル!$N$3:$O$5,2,0)),-1)</f>
        <v>2830</v>
      </c>
      <c r="G4" s="38">
        <f t="shared" si="0"/>
        <v>172630</v>
      </c>
    </row>
    <row r="5" spans="1:7">
      <c r="A5" s="45">
        <v>45020</v>
      </c>
      <c r="B5" s="6" t="s">
        <v>53</v>
      </c>
      <c r="C5" s="14" t="str">
        <f>VLOOKUP(B5,テーブル!$F$3:$H$6,2,0)</f>
        <v>鈴木商店</v>
      </c>
      <c r="D5" s="6">
        <v>41</v>
      </c>
      <c r="E5" s="6">
        <v>123</v>
      </c>
      <c r="F5" s="22">
        <f>ROUNDDOWN(VLOOKUP(D5,テーブル!$J$3:$L$10,3,0)*(1-VLOOKUP(RIGHT(B5,1),テーブル!$N$3:$O$5,2,0)),-1)</f>
        <v>1740</v>
      </c>
      <c r="G5" s="38">
        <f t="shared" si="0"/>
        <v>214020</v>
      </c>
    </row>
    <row r="6" spans="1:7">
      <c r="A6" s="45">
        <v>45021</v>
      </c>
      <c r="B6" s="6" t="s">
        <v>54</v>
      </c>
      <c r="C6" s="14" t="str">
        <f>VLOOKUP(B6,テーブル!$F$3:$H$6,2,0)</f>
        <v>泉ストア</v>
      </c>
      <c r="D6" s="6">
        <v>12</v>
      </c>
      <c r="E6" s="6">
        <v>101</v>
      </c>
      <c r="F6" s="22">
        <f>ROUNDDOWN(VLOOKUP(D6,テーブル!$J$3:$L$10,3,0)*(1-VLOOKUP(RIGHT(B6,1),テーブル!$N$3:$O$5,2,0)),-1)</f>
        <v>2340</v>
      </c>
      <c r="G6" s="38">
        <f t="shared" si="0"/>
        <v>236340</v>
      </c>
    </row>
    <row r="7" spans="1:7">
      <c r="A7" s="45">
        <v>45022</v>
      </c>
      <c r="B7" s="6" t="s">
        <v>55</v>
      </c>
      <c r="C7" s="14" t="str">
        <f>VLOOKUP(B7,テーブル!$F$3:$H$6,2,0)</f>
        <v>共栄商事</v>
      </c>
      <c r="D7" s="6">
        <v>11</v>
      </c>
      <c r="E7" s="6">
        <v>82</v>
      </c>
      <c r="F7" s="22">
        <f>ROUNDDOWN(VLOOKUP(D7,テーブル!$J$3:$L$10,3,0)*(1-VLOOKUP(RIGHT(B7,1),テーブル!$N$3:$O$5,2,0)),-1)</f>
        <v>2200</v>
      </c>
      <c r="G7" s="38">
        <f t="shared" si="0"/>
        <v>180400</v>
      </c>
    </row>
    <row r="8" spans="1:7">
      <c r="A8" s="45">
        <v>45023</v>
      </c>
      <c r="B8" s="6" t="s">
        <v>53</v>
      </c>
      <c r="C8" s="14" t="str">
        <f>VLOOKUP(B8,テーブル!$F$3:$H$6,2,0)</f>
        <v>鈴木商店</v>
      </c>
      <c r="D8" s="6">
        <v>11</v>
      </c>
      <c r="E8" s="6">
        <v>66</v>
      </c>
      <c r="F8" s="22">
        <f>ROUNDDOWN(VLOOKUP(D8,テーブル!$J$3:$L$10,3,0)*(1-VLOOKUP(RIGHT(B8,1),テーブル!$N$3:$O$5,2,0)),-1)</f>
        <v>2240</v>
      </c>
      <c r="G8" s="38">
        <f t="shared" si="0"/>
        <v>147840</v>
      </c>
    </row>
    <row r="9" spans="1:7">
      <c r="A9" s="45">
        <v>45024</v>
      </c>
      <c r="B9" s="6" t="s">
        <v>54</v>
      </c>
      <c r="C9" s="14" t="str">
        <f>VLOOKUP(B9,テーブル!$F$3:$H$6,2,0)</f>
        <v>泉ストア</v>
      </c>
      <c r="D9" s="6">
        <v>21</v>
      </c>
      <c r="E9" s="6">
        <v>59</v>
      </c>
      <c r="F9" s="22">
        <f>ROUNDDOWN(VLOOKUP(D9,テーブル!$J$3:$L$10,3,0)*(1-VLOOKUP(RIGHT(B9,1),テーブル!$N$3:$O$5,2,0)),-1)</f>
        <v>1580</v>
      </c>
      <c r="G9" s="38">
        <f t="shared" si="0"/>
        <v>93220</v>
      </c>
    </row>
    <row r="10" spans="1:7">
      <c r="A10" s="45">
        <v>45025</v>
      </c>
      <c r="B10" s="6" t="s">
        <v>55</v>
      </c>
      <c r="C10" s="14" t="str">
        <f>VLOOKUP(B10,テーブル!$F$3:$H$6,2,0)</f>
        <v>共栄商事</v>
      </c>
      <c r="D10" s="6">
        <v>32</v>
      </c>
      <c r="E10" s="6">
        <v>50</v>
      </c>
      <c r="F10" s="22">
        <f>ROUNDDOWN(VLOOKUP(D10,テーブル!$J$3:$L$10,3,0)*(1-VLOOKUP(RIGHT(B10,1),テーブル!$N$3:$O$5,2,0)),-1)</f>
        <v>1740</v>
      </c>
      <c r="G10" s="38">
        <f t="shared" si="0"/>
        <v>87000</v>
      </c>
    </row>
    <row r="11" spans="1:7">
      <c r="A11" s="45">
        <v>45026</v>
      </c>
      <c r="B11" s="6" t="s">
        <v>53</v>
      </c>
      <c r="C11" s="14" t="str">
        <f>VLOOKUP(B11,テーブル!$F$3:$H$6,2,0)</f>
        <v>鈴木商店</v>
      </c>
      <c r="D11" s="6">
        <v>42</v>
      </c>
      <c r="E11" s="6">
        <v>56</v>
      </c>
      <c r="F11" s="22">
        <f>ROUNDDOWN(VLOOKUP(D11,テーブル!$J$3:$L$10,3,0)*(1-VLOOKUP(RIGHT(B11,1),テーブル!$N$3:$O$5,2,0)),-1)</f>
        <v>2890</v>
      </c>
      <c r="G11" s="38">
        <f t="shared" si="0"/>
        <v>161840</v>
      </c>
    </row>
    <row r="12" spans="1:7">
      <c r="A12" s="45">
        <v>45027</v>
      </c>
      <c r="B12" s="6" t="s">
        <v>55</v>
      </c>
      <c r="C12" s="14" t="str">
        <f>VLOOKUP(B12,テーブル!$F$3:$H$6,2,0)</f>
        <v>共栄商事</v>
      </c>
      <c r="D12" s="6">
        <v>12</v>
      </c>
      <c r="E12" s="6">
        <v>57</v>
      </c>
      <c r="F12" s="22">
        <f>ROUNDDOWN(VLOOKUP(D12,テーブル!$J$3:$L$10,3,0)*(1-VLOOKUP(RIGHT(B12,1),テーブル!$N$3:$O$5,2,0)),-1)</f>
        <v>2320</v>
      </c>
      <c r="G12" s="38">
        <f t="shared" si="0"/>
        <v>132240</v>
      </c>
    </row>
    <row r="13" spans="1:7">
      <c r="A13" s="45">
        <v>45028</v>
      </c>
      <c r="B13" s="6" t="s">
        <v>56</v>
      </c>
      <c r="C13" s="14" t="str">
        <f>VLOOKUP(B13,テーブル!$F$3:$H$6,2,0)</f>
        <v>平成総業</v>
      </c>
      <c r="D13" s="6">
        <v>42</v>
      </c>
      <c r="E13" s="6">
        <v>49</v>
      </c>
      <c r="F13" s="22">
        <f>ROUNDDOWN(VLOOKUP(D13,テーブル!$J$3:$L$10,3,0)*(1-VLOOKUP(RIGHT(B13,1),テーブル!$N$3:$O$5,2,0)),-1)</f>
        <v>2830</v>
      </c>
      <c r="G13" s="38">
        <f t="shared" si="0"/>
        <v>138670</v>
      </c>
    </row>
    <row r="14" spans="1:7">
      <c r="A14" s="45">
        <v>45029</v>
      </c>
      <c r="B14" s="6" t="s">
        <v>54</v>
      </c>
      <c r="C14" s="14" t="str">
        <f>VLOOKUP(B14,テーブル!$F$3:$H$6,2,0)</f>
        <v>泉ストア</v>
      </c>
      <c r="D14" s="6">
        <v>11</v>
      </c>
      <c r="E14" s="6">
        <v>89</v>
      </c>
      <c r="F14" s="22">
        <f>ROUNDDOWN(VLOOKUP(D14,テーブル!$J$3:$L$10,3,0)*(1-VLOOKUP(RIGHT(B14,1),テーブル!$N$3:$O$5,2,0)),-1)</f>
        <v>2220</v>
      </c>
      <c r="G14" s="38">
        <f t="shared" si="0"/>
        <v>197580</v>
      </c>
    </row>
    <row r="15" spans="1:7">
      <c r="A15" s="45">
        <v>45030</v>
      </c>
      <c r="B15" s="6" t="s">
        <v>53</v>
      </c>
      <c r="C15" s="14" t="str">
        <f>VLOOKUP(B15,テーブル!$F$3:$H$6,2,0)</f>
        <v>鈴木商店</v>
      </c>
      <c r="D15" s="6">
        <v>12</v>
      </c>
      <c r="E15" s="6">
        <v>58</v>
      </c>
      <c r="F15" s="22">
        <f>ROUNDDOWN(VLOOKUP(D15,テーブル!$J$3:$L$10,3,0)*(1-VLOOKUP(RIGHT(B15,1),テーブル!$N$3:$O$5,2,0)),-1)</f>
        <v>2360</v>
      </c>
      <c r="G15" s="38">
        <f t="shared" si="0"/>
        <v>136880</v>
      </c>
    </row>
    <row r="16" spans="1:7">
      <c r="A16" s="45">
        <v>45031</v>
      </c>
      <c r="B16" s="6" t="s">
        <v>55</v>
      </c>
      <c r="C16" s="14" t="str">
        <f>VLOOKUP(B16,テーブル!$F$3:$H$6,2,0)</f>
        <v>共栄商事</v>
      </c>
      <c r="D16" s="6">
        <v>22</v>
      </c>
      <c r="E16" s="6">
        <v>53</v>
      </c>
      <c r="F16" s="22">
        <f>ROUNDDOWN(VLOOKUP(D16,テーブル!$J$3:$L$10,3,0)*(1-VLOOKUP(RIGHT(B16,1),テーブル!$N$3:$O$5,2,0)),-1)</f>
        <v>2940</v>
      </c>
      <c r="G16" s="38">
        <f t="shared" si="0"/>
        <v>155820</v>
      </c>
    </row>
    <row r="17" spans="1:7">
      <c r="A17" s="45">
        <v>45032</v>
      </c>
      <c r="B17" s="6" t="s">
        <v>56</v>
      </c>
      <c r="C17" s="14" t="str">
        <f>VLOOKUP(B17,テーブル!$F$3:$H$6,2,0)</f>
        <v>平成総業</v>
      </c>
      <c r="D17" s="6">
        <v>11</v>
      </c>
      <c r="E17" s="6">
        <v>59</v>
      </c>
      <c r="F17" s="22">
        <f>ROUNDDOWN(VLOOKUP(D17,テーブル!$J$3:$L$10,3,0)*(1-VLOOKUP(RIGHT(B17,1),テーブル!$N$3:$O$5,2,0)),-1)</f>
        <v>2200</v>
      </c>
      <c r="G17" s="38">
        <f t="shared" si="0"/>
        <v>129800</v>
      </c>
    </row>
    <row r="18" spans="1:7">
      <c r="A18" s="45">
        <v>45033</v>
      </c>
      <c r="B18" s="6" t="s">
        <v>54</v>
      </c>
      <c r="C18" s="14" t="str">
        <f>VLOOKUP(B18,テーブル!$F$3:$H$6,2,0)</f>
        <v>泉ストア</v>
      </c>
      <c r="D18" s="6">
        <v>22</v>
      </c>
      <c r="E18" s="6">
        <v>55</v>
      </c>
      <c r="F18" s="22">
        <f>ROUNDDOWN(VLOOKUP(D18,テーブル!$J$3:$L$10,3,0)*(1-VLOOKUP(RIGHT(B18,1),テーブル!$N$3:$O$5,2,0)),-1)</f>
        <v>2970</v>
      </c>
      <c r="G18" s="38">
        <f t="shared" si="0"/>
        <v>163350</v>
      </c>
    </row>
    <row r="19" spans="1:7">
      <c r="A19" s="45">
        <v>45034</v>
      </c>
      <c r="B19" s="6" t="s">
        <v>55</v>
      </c>
      <c r="C19" s="14" t="str">
        <f>VLOOKUP(B19,テーブル!$F$3:$H$6,2,0)</f>
        <v>共栄商事</v>
      </c>
      <c r="D19" s="6">
        <v>21</v>
      </c>
      <c r="E19" s="6">
        <v>126</v>
      </c>
      <c r="F19" s="22">
        <f>ROUNDDOWN(VLOOKUP(D19,テーブル!$J$3:$L$10,3,0)*(1-VLOOKUP(RIGHT(B19,1),テーブル!$N$3:$O$5,2,0)),-1)</f>
        <v>1570</v>
      </c>
      <c r="G19" s="38">
        <f t="shared" si="0"/>
        <v>197820</v>
      </c>
    </row>
    <row r="20" spans="1:7">
      <c r="A20" s="45">
        <v>45035</v>
      </c>
      <c r="B20" s="6" t="s">
        <v>56</v>
      </c>
      <c r="C20" s="14" t="str">
        <f>VLOOKUP(B20,テーブル!$F$3:$H$6,2,0)</f>
        <v>平成総業</v>
      </c>
      <c r="D20" s="6">
        <v>21</v>
      </c>
      <c r="E20" s="6">
        <v>112</v>
      </c>
      <c r="F20" s="22">
        <f>ROUNDDOWN(VLOOKUP(D20,テーブル!$J$3:$L$10,3,0)*(1-VLOOKUP(RIGHT(B20,1),テーブル!$N$3:$O$5,2,0)),-1)</f>
        <v>1570</v>
      </c>
      <c r="G20" s="38">
        <f t="shared" si="0"/>
        <v>175840</v>
      </c>
    </row>
    <row r="21" spans="1:7">
      <c r="A21" s="45">
        <v>45036</v>
      </c>
      <c r="B21" s="6" t="s">
        <v>54</v>
      </c>
      <c r="C21" s="14" t="str">
        <f>VLOOKUP(B21,テーブル!$F$3:$H$6,2,0)</f>
        <v>泉ストア</v>
      </c>
      <c r="D21" s="6">
        <v>31</v>
      </c>
      <c r="E21" s="6">
        <v>84</v>
      </c>
      <c r="F21" s="22">
        <f>ROUNDDOWN(VLOOKUP(D21,テーブル!$J$3:$L$10,3,0)*(1-VLOOKUP(RIGHT(B21,1),テーブル!$N$3:$O$5,2,0)),-1)</f>
        <v>2440</v>
      </c>
      <c r="G21" s="38">
        <f t="shared" si="0"/>
        <v>204960</v>
      </c>
    </row>
    <row r="22" spans="1:7">
      <c r="A22" s="45">
        <v>45037</v>
      </c>
      <c r="B22" s="6" t="s">
        <v>56</v>
      </c>
      <c r="C22" s="14" t="str">
        <f>VLOOKUP(B22,テーブル!$F$3:$H$6,2,0)</f>
        <v>平成総業</v>
      </c>
      <c r="D22" s="6">
        <v>22</v>
      </c>
      <c r="E22" s="6">
        <v>40</v>
      </c>
      <c r="F22" s="22">
        <f>ROUNDDOWN(VLOOKUP(D22,テーブル!$J$3:$L$10,3,0)*(1-VLOOKUP(RIGHT(B22,1),テーブル!$N$3:$O$5,2,0)),-1)</f>
        <v>2940</v>
      </c>
      <c r="G22" s="38">
        <f t="shared" si="0"/>
        <v>117600</v>
      </c>
    </row>
    <row r="23" spans="1:7">
      <c r="A23" s="45">
        <v>45038</v>
      </c>
      <c r="B23" s="6" t="s">
        <v>53</v>
      </c>
      <c r="C23" s="14" t="str">
        <f>VLOOKUP(B23,テーブル!$F$3:$H$6,2,0)</f>
        <v>鈴木商店</v>
      </c>
      <c r="D23" s="6">
        <v>31</v>
      </c>
      <c r="E23" s="6">
        <v>62</v>
      </c>
      <c r="F23" s="22">
        <f>ROUNDDOWN(VLOOKUP(D23,テーブル!$J$3:$L$10,3,0)*(1-VLOOKUP(RIGHT(B23,1),テーブル!$N$3:$O$5,2,0)),-1)</f>
        <v>2470</v>
      </c>
      <c r="G23" s="38">
        <f t="shared" si="0"/>
        <v>153140</v>
      </c>
    </row>
    <row r="24" spans="1:7">
      <c r="A24" s="45">
        <v>45039</v>
      </c>
      <c r="B24" s="6" t="s">
        <v>54</v>
      </c>
      <c r="C24" s="14" t="str">
        <f>VLOOKUP(B24,テーブル!$F$3:$H$6,2,0)</f>
        <v>泉ストア</v>
      </c>
      <c r="D24" s="6">
        <v>21</v>
      </c>
      <c r="E24" s="6">
        <v>56</v>
      </c>
      <c r="F24" s="22">
        <f>ROUNDDOWN(VLOOKUP(D24,テーブル!$J$3:$L$10,3,0)*(1-VLOOKUP(RIGHT(B24,1),テーブル!$N$3:$O$5,2,0)),-1)</f>
        <v>1580</v>
      </c>
      <c r="G24" s="38">
        <f t="shared" si="0"/>
        <v>88480</v>
      </c>
    </row>
    <row r="25" spans="1:7">
      <c r="A25" s="45">
        <v>45040</v>
      </c>
      <c r="B25" s="6" t="s">
        <v>56</v>
      </c>
      <c r="C25" s="14" t="str">
        <f>VLOOKUP(B25,テーブル!$F$3:$H$6,2,0)</f>
        <v>平成総業</v>
      </c>
      <c r="D25" s="6">
        <v>31</v>
      </c>
      <c r="E25" s="6">
        <v>130</v>
      </c>
      <c r="F25" s="22">
        <f>ROUNDDOWN(VLOOKUP(D25,テーブル!$J$3:$L$10,3,0)*(1-VLOOKUP(RIGHT(B25,1),テーブル!$N$3:$O$5,2,0)),-1)</f>
        <v>2420</v>
      </c>
      <c r="G25" s="38">
        <f t="shared" si="0"/>
        <v>314600</v>
      </c>
    </row>
    <row r="26" spans="1:7">
      <c r="A26" s="45">
        <v>45041</v>
      </c>
      <c r="B26" s="6" t="s">
        <v>54</v>
      </c>
      <c r="C26" s="14" t="str">
        <f>VLOOKUP(B26,テーブル!$F$3:$H$6,2,0)</f>
        <v>泉ストア</v>
      </c>
      <c r="D26" s="6">
        <v>32</v>
      </c>
      <c r="E26" s="6">
        <v>53</v>
      </c>
      <c r="F26" s="22">
        <f>ROUNDDOWN(VLOOKUP(D26,テーブル!$J$3:$L$10,3,0)*(1-VLOOKUP(RIGHT(B26,1),テーブル!$N$3:$O$5,2,0)),-1)</f>
        <v>1760</v>
      </c>
      <c r="G26" s="38">
        <f t="shared" ref="G26:G31" si="1">F26*E26</f>
        <v>93280</v>
      </c>
    </row>
    <row r="27" spans="1:7">
      <c r="A27" s="45">
        <v>45042</v>
      </c>
      <c r="B27" s="6" t="s">
        <v>56</v>
      </c>
      <c r="C27" s="14" t="str">
        <f>VLOOKUP(B27,テーブル!$F$3:$H$6,2,0)</f>
        <v>平成総業</v>
      </c>
      <c r="D27" s="6">
        <v>32</v>
      </c>
      <c r="E27" s="6">
        <v>51</v>
      </c>
      <c r="F27" s="22">
        <f>ROUNDDOWN(VLOOKUP(D27,テーブル!$J$3:$L$10,3,0)*(1-VLOOKUP(RIGHT(B27,1),テーブル!$N$3:$O$5,2,0)),-1)</f>
        <v>1740</v>
      </c>
      <c r="G27" s="38">
        <f t="shared" si="1"/>
        <v>88740</v>
      </c>
    </row>
    <row r="28" spans="1:7">
      <c r="A28" s="45">
        <v>45043</v>
      </c>
      <c r="B28" s="6" t="s">
        <v>53</v>
      </c>
      <c r="C28" s="14" t="str">
        <f>VLOOKUP(B28,テーブル!$F$3:$H$6,2,0)</f>
        <v>鈴木商店</v>
      </c>
      <c r="D28" s="6">
        <v>32</v>
      </c>
      <c r="E28" s="6">
        <v>66</v>
      </c>
      <c r="F28" s="22">
        <f>ROUNDDOWN(VLOOKUP(D28,テーブル!$J$3:$L$10,3,0)*(1-VLOOKUP(RIGHT(B28,1),テーブル!$N$3:$O$5,2,0)),-1)</f>
        <v>1770</v>
      </c>
      <c r="G28" s="38">
        <f t="shared" si="1"/>
        <v>116820</v>
      </c>
    </row>
    <row r="29" spans="1:7">
      <c r="A29" s="45">
        <v>45044</v>
      </c>
      <c r="B29" s="6" t="s">
        <v>55</v>
      </c>
      <c r="C29" s="14" t="str">
        <f>VLOOKUP(B29,テーブル!$F$3:$H$6,2,0)</f>
        <v>共栄商事</v>
      </c>
      <c r="D29" s="6">
        <v>41</v>
      </c>
      <c r="E29" s="6">
        <v>79</v>
      </c>
      <c r="F29" s="22">
        <f>ROUNDDOWN(VLOOKUP(D29,テーブル!$J$3:$L$10,3,0)*(1-VLOOKUP(RIGHT(B29,1),テーブル!$N$3:$O$5,2,0)),-1)</f>
        <v>1700</v>
      </c>
      <c r="G29" s="38">
        <f t="shared" si="1"/>
        <v>134300</v>
      </c>
    </row>
    <row r="30" spans="1:7">
      <c r="A30" s="45">
        <v>45045</v>
      </c>
      <c r="B30" s="6" t="s">
        <v>56</v>
      </c>
      <c r="C30" s="14" t="str">
        <f>VLOOKUP(B30,テーブル!$F$3:$H$6,2,0)</f>
        <v>平成総業</v>
      </c>
      <c r="D30" s="6">
        <v>41</v>
      </c>
      <c r="E30" s="6">
        <v>68</v>
      </c>
      <c r="F30" s="22">
        <f>ROUNDDOWN(VLOOKUP(D30,テーブル!$J$3:$L$10,3,0)*(1-VLOOKUP(RIGHT(B30,1),テーブル!$N$3:$O$5,2,0)),-1)</f>
        <v>1700</v>
      </c>
      <c r="G30" s="38">
        <f t="shared" si="1"/>
        <v>115600</v>
      </c>
    </row>
    <row r="31" spans="1:7">
      <c r="A31" s="45">
        <v>45046</v>
      </c>
      <c r="B31" s="6" t="s">
        <v>53</v>
      </c>
      <c r="C31" s="14" t="str">
        <f>VLOOKUP(B31,テーブル!$F$3:$H$6,2,0)</f>
        <v>鈴木商店</v>
      </c>
      <c r="D31" s="6">
        <v>41</v>
      </c>
      <c r="E31" s="6">
        <v>60</v>
      </c>
      <c r="F31" s="22">
        <f>ROUNDDOWN(VLOOKUP(D31,テーブル!$J$3:$L$10,3,0)*(1-VLOOKUP(RIGHT(B31,1),テーブル!$N$3:$O$5,2,0)),-1)</f>
        <v>1740</v>
      </c>
      <c r="G31" s="38">
        <f t="shared" si="1"/>
        <v>104400</v>
      </c>
    </row>
    <row r="32" spans="1:7">
      <c r="A32" s="26"/>
      <c r="B32" s="14"/>
      <c r="C32" s="14"/>
      <c r="D32" s="14"/>
      <c r="E32" s="14"/>
      <c r="F32" s="14"/>
      <c r="G32" s="34"/>
    </row>
    <row r="33" spans="1:7" ht="14.25" thickBot="1">
      <c r="A33" s="43"/>
      <c r="B33" s="39"/>
      <c r="C33" s="24" t="s">
        <v>45</v>
      </c>
      <c r="D33" s="24"/>
      <c r="E33" s="40">
        <f>SUM(E2:E31)</f>
        <v>2107</v>
      </c>
      <c r="F33" s="39"/>
      <c r="G33" s="41">
        <f>SUM(G2:G31)</f>
        <v>4526150</v>
      </c>
    </row>
    <row r="36" spans="1:7">
      <c r="G36" s="16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6"/>
  <sheetViews>
    <sheetView zoomScaleNormal="100" workbookViewId="0">
      <selection sqref="A1:H1"/>
    </sheetView>
  </sheetViews>
  <sheetFormatPr defaultRowHeight="13.5"/>
  <cols>
    <col min="1" max="1" width="7.5" customWidth="1"/>
    <col min="2" max="3" width="7.5" bestFit="1" customWidth="1"/>
    <col min="4" max="5" width="10.5" bestFit="1" customWidth="1"/>
    <col min="6" max="6" width="9.5" bestFit="1" customWidth="1"/>
    <col min="7" max="7" width="11.625" bestFit="1" customWidth="1"/>
    <col min="8" max="8" width="5.5" bestFit="1" customWidth="1"/>
    <col min="9" max="9" width="5.625" customWidth="1"/>
    <col min="10" max="10" width="7.5" bestFit="1" customWidth="1"/>
    <col min="11" max="11" width="9.5" bestFit="1" customWidth="1"/>
    <col min="12" max="12" width="7.5" bestFit="1" customWidth="1"/>
    <col min="13" max="13" width="10.5" bestFit="1" customWidth="1"/>
    <col min="14" max="14" width="7.5" bestFit="1" customWidth="1"/>
    <col min="15" max="15" width="10.5" bestFit="1" customWidth="1"/>
    <col min="16" max="16" width="5.875" customWidth="1"/>
  </cols>
  <sheetData>
    <row r="1" spans="1:16" ht="14.25" thickBot="1">
      <c r="A1" s="53" t="s">
        <v>32</v>
      </c>
      <c r="B1" s="53"/>
      <c r="C1" s="53"/>
      <c r="D1" s="53"/>
      <c r="E1" s="53"/>
      <c r="F1" s="53"/>
      <c r="G1" s="53"/>
      <c r="H1" s="53"/>
      <c r="J1" s="53" t="s">
        <v>18</v>
      </c>
      <c r="K1" s="53"/>
      <c r="L1" s="53"/>
      <c r="M1" s="53"/>
      <c r="N1" s="53"/>
      <c r="O1" s="53"/>
    </row>
    <row r="2" spans="1:16">
      <c r="A2" s="3" t="s">
        <v>0</v>
      </c>
      <c r="B2" s="4" t="s">
        <v>1</v>
      </c>
      <c r="C2" s="4" t="s">
        <v>13</v>
      </c>
      <c r="D2" s="4" t="s">
        <v>28</v>
      </c>
      <c r="E2" s="4" t="s">
        <v>14</v>
      </c>
      <c r="F2" s="4" t="s">
        <v>29</v>
      </c>
      <c r="G2" s="4" t="s">
        <v>30</v>
      </c>
      <c r="H2" s="5" t="s">
        <v>31</v>
      </c>
      <c r="J2" s="42" t="s">
        <v>11</v>
      </c>
      <c r="K2" s="17" t="s">
        <v>16</v>
      </c>
      <c r="L2" s="17" t="s">
        <v>13</v>
      </c>
      <c r="M2" s="17" t="s">
        <v>17</v>
      </c>
      <c r="N2" s="17" t="s">
        <v>2</v>
      </c>
      <c r="O2" s="29" t="s">
        <v>3</v>
      </c>
    </row>
    <row r="3" spans="1:16">
      <c r="A3" s="8">
        <v>11</v>
      </c>
      <c r="B3" s="6" t="str">
        <f>"商品"&amp;VLOOKUP(A3,テーブル!$J$3:$L$10,2,0)</f>
        <v>商品Ｅ</v>
      </c>
      <c r="C3" s="1">
        <f>SUMIF(販売データ表!$D$2:$D$31,A3,販売データ表!$E$2:$E$31)</f>
        <v>296</v>
      </c>
      <c r="D3" s="44">
        <f>SUMPRODUCT((仕入データ表!$A$2:$A$25=A3)*1,仕入データ表!$C$2:$C$25-仕入データ表!$D$2:$D$25)</f>
        <v>523810</v>
      </c>
      <c r="E3" s="22">
        <f>SUMIF(販売データ表!$D$2:$D$31,A3,販売データ表!$G$2:$G$31)</f>
        <v>655620</v>
      </c>
      <c r="F3" s="48">
        <f t="shared" ref="F3:F10" si="0">ROUNDDOWN(E3/C3,0)</f>
        <v>2214</v>
      </c>
      <c r="G3" s="49">
        <f t="shared" ref="G3:G10" si="1">ROUNDUP(E3/D3-1,3)</f>
        <v>0.252</v>
      </c>
      <c r="H3" s="37" t="str">
        <f t="shared" ref="H3:H10" si="2">IF(OR(G3&gt;=24%,E3&gt;=AVERAGE($E$3:$E$10)),"良好","")</f>
        <v>良好</v>
      </c>
      <c r="J3" s="26" t="s">
        <v>46</v>
      </c>
      <c r="K3" s="14" t="str">
        <f>VLOOKUP(J3,テーブル!$F$3:$H$6,2,0)</f>
        <v>泉ストア</v>
      </c>
      <c r="L3" s="15">
        <f>DSUM(販売データ表!$A$1:$G$31,L$2,$J$10:$J$11)</f>
        <v>539</v>
      </c>
      <c r="M3" s="15">
        <f>DSUM(販売データ表!$A$1:$G$31,M$2,$J$10:$J$11)</f>
        <v>1201950</v>
      </c>
      <c r="N3" s="15">
        <f>ROUNDDOWN(IF(AND(L3&lt;540,M3&lt;1200000),M3*1.6%,M3*1.5%),-1)</f>
        <v>18020</v>
      </c>
      <c r="O3" s="33">
        <f>M3+N3+VLOOKUP(J3,テーブル!$F$3:$H$6,3,0)</f>
        <v>1498470</v>
      </c>
      <c r="P3" s="36"/>
    </row>
    <row r="4" spans="1:16">
      <c r="A4" s="8">
        <v>12</v>
      </c>
      <c r="B4" s="6" t="str">
        <f>"商品"&amp;VLOOKUP(A4,テーブル!$J$3:$L$10,2,0)</f>
        <v>商品Ｆ</v>
      </c>
      <c r="C4" s="1">
        <f>SUMIF(販売データ表!$D$2:$D$31,A4,販売データ表!$E$2:$E$31)</f>
        <v>216</v>
      </c>
      <c r="D4" s="44">
        <f>SUMPRODUCT((仕入データ表!$A$2:$A$25=A4)*1,仕入データ表!$C$2:$C$25-仕入データ表!$D$2:$D$25)</f>
        <v>405760</v>
      </c>
      <c r="E4" s="22">
        <f>SUMIF(販売データ表!$D$2:$D$31,A4,販売データ表!$G$2:$G$31)</f>
        <v>505460</v>
      </c>
      <c r="F4" s="48">
        <f t="shared" si="0"/>
        <v>2340</v>
      </c>
      <c r="G4" s="49">
        <f t="shared" si="1"/>
        <v>0.246</v>
      </c>
      <c r="H4" s="37" t="str">
        <f t="shared" si="2"/>
        <v>良好</v>
      </c>
      <c r="J4" s="26" t="s">
        <v>47</v>
      </c>
      <c r="K4" s="14" t="str">
        <f>VLOOKUP(J4,テーブル!$F$3:$H$6,2,0)</f>
        <v>共栄商事</v>
      </c>
      <c r="L4" s="15">
        <f>DSUM(販売データ表!$A$1:$G$31,L$2,$K$10:$K$11)</f>
        <v>508</v>
      </c>
      <c r="M4" s="15">
        <f>DSUM(販売データ表!$A$1:$G$31,M$2,$K$10:$K$11)</f>
        <v>1060210</v>
      </c>
      <c r="N4" s="15">
        <f>ROUNDDOWN(IF(AND(L4&lt;540,M4&lt;1200000),M4*1.6%,M4*1.5%),-1)</f>
        <v>16960</v>
      </c>
      <c r="O4" s="33">
        <f>M4+N4+VLOOKUP(J4,テーブル!$F$3:$H$6,3,0)</f>
        <v>1393870</v>
      </c>
      <c r="P4" s="36"/>
    </row>
    <row r="5" spans="1:16">
      <c r="A5" s="8">
        <v>21</v>
      </c>
      <c r="B5" s="6" t="str">
        <f>"商品"&amp;VLOOKUP(A5,テーブル!$J$3:$L$10,2,0)</f>
        <v>商品Ｇ</v>
      </c>
      <c r="C5" s="1">
        <f>SUMIF(販売データ表!$D$2:$D$31,A5,販売データ表!$E$2:$E$31)</f>
        <v>353</v>
      </c>
      <c r="D5" s="44">
        <f>SUMPRODUCT((仕入データ表!$A$2:$A$25=A5)*1,仕入データ表!$C$2:$C$25-仕入データ表!$D$2:$D$25)</f>
        <v>455470</v>
      </c>
      <c r="E5" s="22">
        <f>SUMIF(販売データ表!$D$2:$D$31,A5,販売データ表!$G$2:$G$31)</f>
        <v>555360</v>
      </c>
      <c r="F5" s="48">
        <f t="shared" si="0"/>
        <v>1573</v>
      </c>
      <c r="G5" s="49">
        <f t="shared" si="1"/>
        <v>0.22</v>
      </c>
      <c r="H5" s="37" t="str">
        <f t="shared" si="2"/>
        <v/>
      </c>
      <c r="J5" s="26" t="s">
        <v>48</v>
      </c>
      <c r="K5" s="14" t="str">
        <f>VLOOKUP(J5,テーブル!$F$3:$H$6,2,0)</f>
        <v>鈴木商店</v>
      </c>
      <c r="L5" s="15">
        <f>DSUM(販売データ表!$A$1:$G$31,L$2,$L$10:$L$11)</f>
        <v>551</v>
      </c>
      <c r="M5" s="15">
        <f>DSUM(販売データ表!$A$1:$G$31,M$2,$L$10:$L$11)</f>
        <v>1183140</v>
      </c>
      <c r="N5" s="15">
        <f>ROUNDDOWN(IF(AND(L5&lt;540,M5&lt;1200000),M5*1.6%,M5*1.5%),-1)</f>
        <v>17740</v>
      </c>
      <c r="O5" s="33">
        <f>M5+N5+VLOOKUP(J5,テーブル!$F$3:$H$6,3,0)</f>
        <v>1399280</v>
      </c>
      <c r="P5" s="36"/>
    </row>
    <row r="6" spans="1:16">
      <c r="A6" s="8">
        <v>22</v>
      </c>
      <c r="B6" s="6" t="str">
        <f>"商品"&amp;VLOOKUP(A6,テーブル!$J$3:$L$10,2,0)</f>
        <v>商品Ｈ</v>
      </c>
      <c r="C6" s="1">
        <f>SUMIF(販売データ表!$D$2:$D$31,A6,販売データ表!$E$2:$E$31)</f>
        <v>190</v>
      </c>
      <c r="D6" s="44">
        <f>SUMPRODUCT((仕入データ表!$A$2:$A$25=A6)*1,仕入データ表!$C$2:$C$25-仕入データ表!$D$2:$D$25)</f>
        <v>453720</v>
      </c>
      <c r="E6" s="22">
        <f>SUMIF(販売データ表!$D$2:$D$31,A6,販売データ表!$G$2:$G$31)</f>
        <v>561510</v>
      </c>
      <c r="F6" s="48">
        <f t="shared" si="0"/>
        <v>2955</v>
      </c>
      <c r="G6" s="49">
        <f t="shared" si="1"/>
        <v>0.23799999999999999</v>
      </c>
      <c r="H6" s="37" t="str">
        <f t="shared" si="2"/>
        <v/>
      </c>
      <c r="J6" s="26" t="s">
        <v>49</v>
      </c>
      <c r="K6" s="14" t="str">
        <f>VLOOKUP(J6,テーブル!$F$3:$H$6,2,0)</f>
        <v>平成総業</v>
      </c>
      <c r="L6" s="15">
        <f>DSUM(販売データ表!$A$1:$G$31,L$2,$M$10:$M$11)</f>
        <v>509</v>
      </c>
      <c r="M6" s="15">
        <f>DSUM(販売データ表!$A$1:$G$31,M$2,$M$10:$M$11)</f>
        <v>1080850</v>
      </c>
      <c r="N6" s="15">
        <f>ROUNDDOWN(IF(AND(L6&lt;540,M6&lt;1200000),M6*1.6%,M6*1.5%),-1)</f>
        <v>17290</v>
      </c>
      <c r="O6" s="33">
        <f>M6+N6+VLOOKUP(J6,テーブル!$F$3:$H$6,3,0)</f>
        <v>1315440</v>
      </c>
      <c r="P6" s="36"/>
    </row>
    <row r="7" spans="1:16">
      <c r="A7" s="8">
        <v>31</v>
      </c>
      <c r="B7" s="6" t="str">
        <f>"商品"&amp;VLOOKUP(A7,テーブル!$J$3:$L$10,2,0)</f>
        <v>商品Ｉ</v>
      </c>
      <c r="C7" s="1">
        <f>SUMIF(販売データ表!$D$2:$D$31,A7,販売データ表!$E$2:$E$31)</f>
        <v>336</v>
      </c>
      <c r="D7" s="44">
        <f>SUMPRODUCT((仕入データ表!$A$2:$A$25=A7)*1,仕入データ表!$C$2:$C$25-仕入データ表!$D$2:$D$25)</f>
        <v>664260</v>
      </c>
      <c r="E7" s="22">
        <f>SUMIF(販売データ表!$D$2:$D$31,A7,販売データ表!$G$2:$G$31)</f>
        <v>820900</v>
      </c>
      <c r="F7" s="48">
        <f t="shared" si="0"/>
        <v>2443</v>
      </c>
      <c r="G7" s="49">
        <f t="shared" si="1"/>
        <v>0.23599999999999999</v>
      </c>
      <c r="H7" s="37" t="str">
        <f t="shared" si="2"/>
        <v>良好</v>
      </c>
      <c r="J7" s="8"/>
      <c r="K7" s="14"/>
      <c r="L7" s="15"/>
      <c r="M7" s="14"/>
      <c r="N7" s="14"/>
      <c r="O7" s="34"/>
    </row>
    <row r="8" spans="1:16" ht="14.25" thickBot="1">
      <c r="A8" s="8">
        <v>32</v>
      </c>
      <c r="B8" s="6" t="str">
        <f>"商品"&amp;VLOOKUP(A8,テーブル!$J$3:$L$10,2,0)</f>
        <v>商品Ｊ</v>
      </c>
      <c r="C8" s="1">
        <f>SUMIF(販売データ表!$D$2:$D$31,A8,販売データ表!$E$2:$E$31)</f>
        <v>220</v>
      </c>
      <c r="D8" s="44">
        <f>SUMPRODUCT((仕入データ表!$A$2:$A$25=A8)*1,仕入データ表!$C$2:$C$25-仕入データ表!$D$2:$D$25)</f>
        <v>319470</v>
      </c>
      <c r="E8" s="22">
        <f>SUMIF(販売データ表!$D$2:$D$31,A8,販売データ表!$G$2:$G$31)</f>
        <v>385840</v>
      </c>
      <c r="F8" s="48">
        <f t="shared" si="0"/>
        <v>1753</v>
      </c>
      <c r="G8" s="49">
        <f t="shared" si="1"/>
        <v>0.20799999999999999</v>
      </c>
      <c r="H8" s="37" t="str">
        <f t="shared" si="2"/>
        <v/>
      </c>
      <c r="J8" s="10"/>
      <c r="K8" s="24" t="s">
        <v>4</v>
      </c>
      <c r="L8" s="19">
        <f>SUM(L3:L6)</f>
        <v>2107</v>
      </c>
      <c r="M8" s="19">
        <f t="shared" ref="M8" si="3">SUM(M3:M6)</f>
        <v>4526150</v>
      </c>
      <c r="N8" s="19">
        <f>SUM(N3:N6)</f>
        <v>70010</v>
      </c>
      <c r="O8" s="35">
        <f>SUM(O3:O6)</f>
        <v>5607060</v>
      </c>
    </row>
    <row r="9" spans="1:16" ht="14.25" thickBot="1">
      <c r="A9" s="8">
        <v>41</v>
      </c>
      <c r="B9" s="6" t="str">
        <f>"商品"&amp;VLOOKUP(A9,テーブル!$J$3:$L$10,2,0)</f>
        <v>商品Ｋ</v>
      </c>
      <c r="C9" s="1">
        <f>SUMIF(販売データ表!$D$2:$D$31,A9,販売データ表!$E$2:$E$31)</f>
        <v>330</v>
      </c>
      <c r="D9" s="44">
        <f>SUMPRODUCT((仕入データ表!$A$2:$A$25=A9)*1,仕入データ表!$C$2:$C$25-仕入データ表!$D$2:$D$25)</f>
        <v>463850</v>
      </c>
      <c r="E9" s="22">
        <f>SUMIF(販売データ表!$D$2:$D$31,A9,販売データ表!$G$2:$G$31)</f>
        <v>568320</v>
      </c>
      <c r="F9" s="48">
        <f t="shared" si="0"/>
        <v>1722</v>
      </c>
      <c r="G9" s="49">
        <f t="shared" si="1"/>
        <v>0.22600000000000001</v>
      </c>
      <c r="H9" s="37" t="str">
        <f t="shared" si="2"/>
        <v>良好</v>
      </c>
    </row>
    <row r="10" spans="1:16">
      <c r="A10" s="8">
        <v>42</v>
      </c>
      <c r="B10" s="6" t="str">
        <f>"商品"&amp;VLOOKUP(A10,テーブル!$J$3:$L$10,2,0)</f>
        <v>商品Ｌ</v>
      </c>
      <c r="C10" s="1">
        <f>SUMIF(販売データ表!$D$2:$D$31,A10,販売データ表!$E$2:$E$31)</f>
        <v>166</v>
      </c>
      <c r="D10" s="44">
        <f>SUMPRODUCT((仕入データ表!$A$2:$A$25=A10)*1,仕入データ表!$C$2:$C$25-仕入データ表!$D$2:$D$25)</f>
        <v>392820</v>
      </c>
      <c r="E10" s="22">
        <f>SUMIF(販売データ表!$D$2:$D$31,A10,販売データ表!$G$2:$G$31)</f>
        <v>473140</v>
      </c>
      <c r="F10" s="48">
        <f t="shared" si="0"/>
        <v>2850</v>
      </c>
      <c r="G10" s="49">
        <f t="shared" si="1"/>
        <v>0.20499999999999999</v>
      </c>
      <c r="H10" s="37" t="str">
        <f t="shared" si="2"/>
        <v/>
      </c>
      <c r="J10" s="23" t="s">
        <v>11</v>
      </c>
      <c r="K10" s="50" t="s">
        <v>11</v>
      </c>
      <c r="L10" s="50" t="s">
        <v>11</v>
      </c>
      <c r="M10" s="50" t="s">
        <v>11</v>
      </c>
    </row>
    <row r="11" spans="1:16" ht="14.25" thickBot="1">
      <c r="A11" s="8"/>
      <c r="B11" s="6"/>
      <c r="C11" s="1"/>
      <c r="D11" s="1"/>
      <c r="E11" s="1"/>
      <c r="F11" s="1"/>
      <c r="G11" s="1"/>
      <c r="H11" s="2"/>
      <c r="J11" s="28" t="s">
        <v>46</v>
      </c>
      <c r="K11" s="51" t="s">
        <v>47</v>
      </c>
      <c r="L11" s="51" t="s">
        <v>48</v>
      </c>
      <c r="M11" s="51" t="s">
        <v>49</v>
      </c>
    </row>
    <row r="12" spans="1:16" ht="14.25" thickBot="1">
      <c r="A12" s="10"/>
      <c r="B12" s="11" t="s">
        <v>4</v>
      </c>
      <c r="C12" s="9">
        <f>SUM(C3:C10)</f>
        <v>2107</v>
      </c>
      <c r="D12" s="9">
        <f>SUM(D3:D10)</f>
        <v>3679160</v>
      </c>
      <c r="E12" s="9">
        <f>SUM(E3:E10)</f>
        <v>4526150</v>
      </c>
      <c r="F12" s="9"/>
      <c r="G12" s="9"/>
      <c r="H12" s="12"/>
    </row>
    <row r="13" spans="1:16">
      <c r="E13" s="16"/>
    </row>
    <row r="14" spans="1:16">
      <c r="A14" s="20"/>
      <c r="B14" s="20"/>
      <c r="D14" s="20"/>
      <c r="E14" s="20"/>
      <c r="F14" s="20"/>
      <c r="G14" s="20"/>
      <c r="H14" s="20"/>
    </row>
    <row r="16" spans="1:16">
      <c r="A16" s="20"/>
    </row>
  </sheetData>
  <mergeCells count="2">
    <mergeCell ref="A1:H1"/>
    <mergeCell ref="J1:O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仕入データ表</vt:lpstr>
      <vt:lpstr>販売データ表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2022-07-26T21:34:21Z</cp:lastPrinted>
  <dcterms:created xsi:type="dcterms:W3CDTF">2012-09-27T07:48:12Z</dcterms:created>
  <dcterms:modified xsi:type="dcterms:W3CDTF">2023-01-13T03:57:47Z</dcterms:modified>
</cp:coreProperties>
</file>