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01\問題制作フォルダー\02_問題集\1表計算\2023(令和05)年度\3_SP初段\"/>
    </mc:Choice>
  </mc:AlternateContent>
  <xr:revisionPtr revIDLastSave="0" documentId="13_ncr:1_{44325E56-B9C1-4B93-883B-2A8679AD92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テーブル" sheetId="4" r:id="rId1"/>
    <sheet name="仕入データ表" sheetId="5" r:id="rId2"/>
    <sheet name="販売データ表" sheetId="6" r:id="rId3"/>
    <sheet name="計算表" sheetId="7" r:id="rId4"/>
  </sheets>
  <definedNames>
    <definedName name="_xlnm._FilterDatabase" localSheetId="0" hidden="1">テーブル!#REF!</definedName>
    <definedName name="_xlnm._FilterDatabase" localSheetId="3" hidden="1">計算表!#REF!</definedName>
    <definedName name="_xlnm._FilterDatabase" localSheetId="1" hidden="1">仕入データ表!#REF!</definedName>
    <definedName name="_xlnm._FilterDatabase" localSheetId="2" hidden="1">販売データ表!$A$1:$F$22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7" l="1"/>
  <c r="J5" i="7"/>
  <c r="J4" i="7"/>
  <c r="J3" i="7"/>
  <c r="E2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" i="6"/>
  <c r="F2" i="6"/>
  <c r="D2" i="5"/>
  <c r="E2" i="5" s="1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D3" i="5"/>
  <c r="D4" i="5"/>
  <c r="D5" i="5"/>
  <c r="D6" i="5"/>
  <c r="E6" i="5" s="1"/>
  <c r="D7" i="5"/>
  <c r="E7" i="5" s="1"/>
  <c r="D8" i="5"/>
  <c r="D9" i="5"/>
  <c r="E9" i="5" s="1"/>
  <c r="D10" i="5"/>
  <c r="E10" i="5" s="1"/>
  <c r="D11" i="5"/>
  <c r="E11" i="5" s="1"/>
  <c r="D12" i="5"/>
  <c r="E12" i="5" s="1"/>
  <c r="D13" i="5"/>
  <c r="E13" i="5" s="1"/>
  <c r="D14" i="5"/>
  <c r="E14" i="5" s="1"/>
  <c r="D15" i="5"/>
  <c r="E15" i="5" s="1"/>
  <c r="D16" i="5"/>
  <c r="E16" i="5" s="1"/>
  <c r="D17" i="5"/>
  <c r="E17" i="5" s="1"/>
  <c r="D18" i="5"/>
  <c r="E18" i="5" s="1"/>
  <c r="D19" i="5"/>
  <c r="E19" i="5" s="1"/>
  <c r="D20" i="5"/>
  <c r="E20" i="5" s="1"/>
  <c r="D21" i="5"/>
  <c r="D22" i="5"/>
  <c r="E22" i="5" s="1"/>
  <c r="D23" i="5"/>
  <c r="E23" i="5" s="1"/>
  <c r="D24" i="5"/>
  <c r="D25" i="5"/>
  <c r="E3" i="5"/>
  <c r="E5" i="5"/>
  <c r="E21" i="5"/>
  <c r="E25" i="5"/>
  <c r="B3" i="7"/>
  <c r="B4" i="7"/>
  <c r="B5" i="7"/>
  <c r="B6" i="7"/>
  <c r="B7" i="7"/>
  <c r="B8" i="7"/>
  <c r="B9" i="7"/>
  <c r="B10" i="7"/>
  <c r="E4" i="5"/>
  <c r="E8" i="5"/>
  <c r="E24" i="5"/>
  <c r="D27" i="6"/>
  <c r="B27" i="5"/>
  <c r="D3" i="7"/>
  <c r="K6" i="7" l="1"/>
  <c r="K4" i="7"/>
  <c r="K5" i="7"/>
  <c r="K3" i="7"/>
  <c r="D4" i="7" l="1"/>
  <c r="D5" i="7"/>
  <c r="D6" i="7"/>
  <c r="D7" i="7"/>
  <c r="D8" i="7"/>
  <c r="D9" i="7"/>
  <c r="D10" i="7"/>
  <c r="C4" i="7"/>
  <c r="C5" i="7"/>
  <c r="C6" i="7"/>
  <c r="C7" i="7"/>
  <c r="C8" i="7"/>
  <c r="C9" i="7"/>
  <c r="C10" i="7"/>
  <c r="C3" i="7"/>
  <c r="E3" i="7" s="1"/>
  <c r="G3" i="7" s="1"/>
  <c r="F7" i="6" l="1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3" i="6"/>
  <c r="F4" i="6"/>
  <c r="F5" i="6"/>
  <c r="F6" i="6"/>
  <c r="F3" i="7" l="1"/>
  <c r="L4" i="7"/>
  <c r="M4" i="7" s="1"/>
  <c r="L6" i="7"/>
  <c r="M6" i="7" s="1"/>
  <c r="K8" i="7"/>
  <c r="E8" i="7"/>
  <c r="G8" i="7" s="1"/>
  <c r="E10" i="7"/>
  <c r="G10" i="7" s="1"/>
  <c r="E9" i="7"/>
  <c r="G9" i="7" s="1"/>
  <c r="E7" i="7"/>
  <c r="G7" i="7" s="1"/>
  <c r="E6" i="7"/>
  <c r="G6" i="7" s="1"/>
  <c r="E5" i="7"/>
  <c r="G5" i="7" s="1"/>
  <c r="E4" i="7"/>
  <c r="G4" i="7" s="1"/>
  <c r="N6" i="7" l="1"/>
  <c r="P6" i="7"/>
  <c r="N4" i="7"/>
  <c r="P4" i="7"/>
  <c r="F8" i="7"/>
  <c r="F7" i="7"/>
  <c r="F9" i="7"/>
  <c r="F5" i="7"/>
  <c r="F10" i="7"/>
  <c r="F6" i="7"/>
  <c r="F4" i="7"/>
  <c r="E27" i="5" l="1"/>
  <c r="D27" i="5" l="1"/>
  <c r="C12" i="7" l="1"/>
  <c r="F27" i="6" l="1"/>
  <c r="L3" i="7"/>
  <c r="M3" i="7" s="1"/>
  <c r="L5" i="7"/>
  <c r="M5" i="7" s="1"/>
  <c r="E12" i="7"/>
  <c r="D12" i="7"/>
  <c r="G12" i="7"/>
  <c r="N3" i="7" l="1"/>
  <c r="P5" i="7"/>
  <c r="P3" i="7"/>
  <c r="N5" i="7"/>
  <c r="L8" i="7"/>
  <c r="F12" i="7"/>
  <c r="M8" i="7" l="1"/>
  <c r="N8" i="7"/>
  <c r="O4" i="7" l="1"/>
  <c r="O6" i="7"/>
  <c r="O3" i="7"/>
  <c r="O5" i="7"/>
  <c r="O8" i="7" l="1"/>
</calcChain>
</file>

<file path=xl/sharedStrings.xml><?xml version="1.0" encoding="utf-8"?>
<sst xmlns="http://schemas.openxmlformats.org/spreadsheetml/2006/main" count="60" uniqueCount="45">
  <si>
    <t>商ＣＯ</t>
  </si>
  <si>
    <t>商品名</t>
  </si>
  <si>
    <t>諸経費</t>
  </si>
  <si>
    <t>請求額</t>
  </si>
  <si>
    <t>合　計</t>
    <rPh sb="0" eb="1">
      <t>ア</t>
    </rPh>
    <rPh sb="2" eb="3">
      <t>ケイ</t>
    </rPh>
    <phoneticPr fontId="3"/>
  </si>
  <si>
    <t>原価</t>
    <rPh sb="0" eb="2">
      <t>ゲンカ</t>
    </rPh>
    <phoneticPr fontId="2"/>
  </si>
  <si>
    <t>仕入額</t>
    <rPh sb="0" eb="2">
      <t>シイレ</t>
    </rPh>
    <phoneticPr fontId="2"/>
  </si>
  <si>
    <t>仕入数</t>
    <rPh sb="0" eb="2">
      <t>シイレ</t>
    </rPh>
    <rPh sb="2" eb="3">
      <t>スウ</t>
    </rPh>
    <phoneticPr fontId="2"/>
  </si>
  <si>
    <t>売価</t>
    <rPh sb="0" eb="2">
      <t>バイカ</t>
    </rPh>
    <phoneticPr fontId="2"/>
  </si>
  <si>
    <t>定価</t>
    <rPh sb="0" eb="2">
      <t>テイカ</t>
    </rPh>
    <phoneticPr fontId="2"/>
  </si>
  <si>
    <t>区分</t>
    <rPh sb="0" eb="2">
      <t>クブン</t>
    </rPh>
    <phoneticPr fontId="2"/>
  </si>
  <si>
    <t>期末在庫数</t>
    <rPh sb="0" eb="1">
      <t>キ</t>
    </rPh>
    <rPh sb="1" eb="2">
      <t>マツ</t>
    </rPh>
    <rPh sb="2" eb="4">
      <t>ザイコ</t>
    </rPh>
    <rPh sb="4" eb="5">
      <t>スウ</t>
    </rPh>
    <phoneticPr fontId="2"/>
  </si>
  <si>
    <t>期首在庫数</t>
    <rPh sb="0" eb="2">
      <t>キシュ</t>
    </rPh>
    <rPh sb="2" eb="5">
      <t>ザイコスウ</t>
    </rPh>
    <phoneticPr fontId="2"/>
  </si>
  <si>
    <t>利益額</t>
    <rPh sb="0" eb="2">
      <t>リエキ</t>
    </rPh>
    <rPh sb="2" eb="3">
      <t>ガク</t>
    </rPh>
    <phoneticPr fontId="2"/>
  </si>
  <si>
    <t>商　品　別　計　算　表</t>
    <rPh sb="4" eb="5">
      <t>ベツ</t>
    </rPh>
    <rPh sb="6" eb="7">
      <t>ケイ</t>
    </rPh>
    <rPh sb="8" eb="9">
      <t>サン</t>
    </rPh>
    <rPh sb="10" eb="11">
      <t>ヒョウ</t>
    </rPh>
    <phoneticPr fontId="2"/>
  </si>
  <si>
    <t>＜商品テーブル＞</t>
    <phoneticPr fontId="2"/>
  </si>
  <si>
    <t>手数料</t>
    <rPh sb="0" eb="3">
      <t>テスウリョウ</t>
    </rPh>
    <phoneticPr fontId="2"/>
  </si>
  <si>
    <t>販ＣＯ</t>
    <rPh sb="0" eb="1">
      <t>ハン</t>
    </rPh>
    <phoneticPr fontId="2"/>
  </si>
  <si>
    <t>販売先名</t>
    <rPh sb="0" eb="2">
      <t>ハンバイ</t>
    </rPh>
    <rPh sb="2" eb="3">
      <t>サキ</t>
    </rPh>
    <rPh sb="3" eb="4">
      <t>メイ</t>
    </rPh>
    <phoneticPr fontId="2"/>
  </si>
  <si>
    <t>販売数</t>
    <rPh sb="0" eb="2">
      <t>ハンバイ</t>
    </rPh>
    <rPh sb="2" eb="3">
      <t>スウ</t>
    </rPh>
    <phoneticPr fontId="2"/>
  </si>
  <si>
    <t>販売額</t>
    <rPh sb="0" eb="2">
      <t>ハンバイ</t>
    </rPh>
    <rPh sb="2" eb="3">
      <t>ガク</t>
    </rPh>
    <phoneticPr fontId="2"/>
  </si>
  <si>
    <t>＜販売先テーブル＞</t>
    <rPh sb="1" eb="3">
      <t>ハンバイ</t>
    </rPh>
    <phoneticPr fontId="2"/>
  </si>
  <si>
    <t>販売先名</t>
    <rPh sb="0" eb="2">
      <t>ハンバイ</t>
    </rPh>
    <phoneticPr fontId="2"/>
  </si>
  <si>
    <t>＜値引率テーブル＞</t>
    <rPh sb="1" eb="3">
      <t>ネビキ</t>
    </rPh>
    <rPh sb="3" eb="4">
      <t>リツ</t>
    </rPh>
    <phoneticPr fontId="2"/>
  </si>
  <si>
    <t>値引率</t>
    <rPh sb="0" eb="2">
      <t>ネビキ</t>
    </rPh>
    <phoneticPr fontId="2"/>
  </si>
  <si>
    <t>在庫評価額</t>
    <rPh sb="0" eb="2">
      <t>ザイコ</t>
    </rPh>
    <rPh sb="2" eb="4">
      <t>ヒョウカ</t>
    </rPh>
    <rPh sb="4" eb="5">
      <t>ガク</t>
    </rPh>
    <phoneticPr fontId="2"/>
  </si>
  <si>
    <t>販売額</t>
    <rPh sb="0" eb="2">
      <t>ハンバイ</t>
    </rPh>
    <phoneticPr fontId="2"/>
  </si>
  <si>
    <t>奨励金</t>
    <rPh sb="0" eb="3">
      <t>ショウレイキン</t>
    </rPh>
    <phoneticPr fontId="2"/>
  </si>
  <si>
    <t>販　売　先　別　計　算　表</t>
    <rPh sb="0" eb="1">
      <t>ハン</t>
    </rPh>
    <rPh sb="2" eb="3">
      <t>バイ</t>
    </rPh>
    <phoneticPr fontId="2"/>
  </si>
  <si>
    <t>前月比</t>
    <rPh sb="0" eb="3">
      <t>ゼンゲツヒ</t>
    </rPh>
    <phoneticPr fontId="2"/>
  </si>
  <si>
    <t>前月販売額</t>
    <rPh sb="0" eb="2">
      <t>ゼンゲツ</t>
    </rPh>
    <rPh sb="2" eb="4">
      <t>ハンバイ</t>
    </rPh>
    <rPh sb="4" eb="5">
      <t>ガク</t>
    </rPh>
    <phoneticPr fontId="2"/>
  </si>
  <si>
    <t>商品</t>
    <phoneticPr fontId="2"/>
  </si>
  <si>
    <t>空カメラ</t>
    <rPh sb="0" eb="1">
      <t>ソラ</t>
    </rPh>
    <phoneticPr fontId="2"/>
  </si>
  <si>
    <t>ＮＤＫＤ</t>
    <phoneticPr fontId="3"/>
  </si>
  <si>
    <t>満点電気</t>
    <rPh sb="0" eb="2">
      <t>マンテン</t>
    </rPh>
    <rPh sb="2" eb="4">
      <t>デンキ</t>
    </rPh>
    <phoneticPr fontId="3"/>
  </si>
  <si>
    <t>ながの堂</t>
    <rPh sb="3" eb="4">
      <t>ドウ</t>
    </rPh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</si>
  <si>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</si>
  <si>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</si>
  <si>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</si>
  <si>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</si>
  <si>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Ｅ</t>
    <phoneticPr fontId="2"/>
  </si>
  <si>
    <t>Ｆ</t>
    <phoneticPr fontId="2"/>
  </si>
  <si>
    <t>Ｇ</t>
    <phoneticPr fontId="2"/>
  </si>
  <si>
    <t>Ｈ</t>
    <phoneticPr fontId="2"/>
  </si>
  <si>
    <t>合　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</si>
</sst>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>
    <font>
      <sz val="11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明朝"/>
      <family val="2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9" xfId="0" applyBorder="1">
      <alignment vertical="center"/>
    </xf>
    <xf numFmtId="38" fontId="0" fillId="0" borderId="3" xfId="0" applyNumberFormat="1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38" fontId="0" fillId="0" borderId="4" xfId="0" applyNumberFormat="1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0" fillId="0" borderId="0" xfId="0" applyNumberForma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38" fontId="4" fillId="0" borderId="1" xfId="0" applyNumberFormat="1" applyFont="1" applyBorder="1">
      <alignment vertical="center"/>
    </xf>
    <xf numFmtId="38" fontId="4" fillId="0" borderId="3" xfId="0" applyNumberFormat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2" xfId="1" applyFont="1" applyBorder="1" applyAlignment="1">
      <alignment horizontal="center" vertical="center"/>
    </xf>
    <xf numFmtId="38" fontId="0" fillId="0" borderId="13" xfId="1" applyFont="1" applyBorder="1">
      <alignment vertical="center"/>
    </xf>
    <xf numFmtId="38" fontId="0" fillId="0" borderId="12" xfId="1" applyFont="1" applyBorder="1">
      <alignment vertical="center"/>
    </xf>
    <xf numFmtId="0" fontId="0" fillId="0" borderId="0" xfId="0" applyAlignment="1">
      <alignment horizontal="center" vertical="center"/>
    </xf>
    <xf numFmtId="38" fontId="0" fillId="0" borderId="9" xfId="1" applyFont="1" applyFill="1" applyBorder="1">
      <alignment vertical="center"/>
    </xf>
    <xf numFmtId="38" fontId="0" fillId="0" borderId="1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0" fillId="0" borderId="5" xfId="1" applyFont="1" applyFill="1" applyBorder="1">
      <alignment vertical="center"/>
    </xf>
    <xf numFmtId="0" fontId="0" fillId="0" borderId="11" xfId="0" applyBorder="1">
      <alignment vertical="center"/>
    </xf>
    <xf numFmtId="0" fontId="0" fillId="0" borderId="13" xfId="0" applyBorder="1">
      <alignment vertical="center"/>
    </xf>
    <xf numFmtId="38" fontId="0" fillId="0" borderId="3" xfId="1" applyFont="1" applyFill="1" applyBorder="1">
      <alignment vertical="center"/>
    </xf>
    <xf numFmtId="0" fontId="0" fillId="0" borderId="3" xfId="0" applyBorder="1">
      <alignment vertical="center"/>
    </xf>
    <xf numFmtId="38" fontId="0" fillId="0" borderId="4" xfId="1" applyFont="1" applyFill="1" applyBorder="1">
      <alignment vertical="center"/>
    </xf>
    <xf numFmtId="0" fontId="0" fillId="0" borderId="14" xfId="0" applyBorder="1">
      <alignment vertical="center"/>
    </xf>
    <xf numFmtId="0" fontId="4" fillId="0" borderId="15" xfId="0" applyFont="1" applyBorder="1" applyAlignment="1">
      <alignment horizontal="center" vertical="center"/>
    </xf>
    <xf numFmtId="176" fontId="0" fillId="0" borderId="5" xfId="5" applyNumberFormat="1" applyFont="1" applyBorder="1">
      <alignment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0" fontId="4" fillId="0" borderId="3" xfId="0" applyFont="1" applyBorder="1" applyAlignment="1">
      <alignment horizontal="center" vertical="center"/>
    </xf>
    <xf numFmtId="38" fontId="4" fillId="0" borderId="3" xfId="1" applyFont="1" applyBorder="1">
      <alignment vertical="center"/>
    </xf>
    <xf numFmtId="0" fontId="4" fillId="0" borderId="7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6" xfId="0" applyFont="1" applyBorder="1">
      <alignment vertical="center"/>
    </xf>
    <xf numFmtId="38" fontId="4" fillId="0" borderId="9" xfId="1" applyFont="1" applyFill="1" applyBorder="1">
      <alignment vertical="center"/>
    </xf>
    <xf numFmtId="176" fontId="0" fillId="0" borderId="1" xfId="0" applyNumberFormat="1" applyBorder="1">
      <alignment vertical="center"/>
    </xf>
    <xf numFmtId="0" fontId="0" fillId="0" borderId="10" xfId="0" applyBorder="1" applyAlignment="1">
      <alignment horizontal="center" vertical="center"/>
    </xf>
  </cellXfs>
  <cellStyles count="6">
    <cellStyle name="パーセント" xfId="5" builtinId="5"/>
    <cellStyle name="パーセント 2" xfId="2" xr:uid="{00000000-0005-0000-0000-000000000000}"/>
    <cellStyle name="桁区切り" xfId="1" builtinId="6"/>
    <cellStyle name="桁区切り 2" xfId="3" xr:uid="{00000000-0005-0000-0000-000002000000}"/>
    <cellStyle name="標準" xfId="0" builtinId="0"/>
    <cellStyle name="標準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>
                <a:latin typeface="ＭＳ 明朝" pitchFamily="17" charset="-128"/>
                <a:ea typeface="ＭＳ 明朝" pitchFamily="17" charset="-128"/>
              </a:defRPr>
            </a:pPr>
            <a:r>
              <a:rPr lang="ja-JP" altLang="en-US"/>
              <a:t>商品別在庫評価額の構成比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計算表!$G$2</c:f>
              <c:strCache>
                <c:ptCount val="1"/>
                <c:pt idx="0">
                  <c:v>在庫評価額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計算表!$B$3:$B$10</c:f>
              <c:strCache>
                <c:ptCount val="8"/>
                <c:pt idx="0">
                  <c:v>商品Ａ</c:v>
                </c:pt>
                <c:pt idx="1">
                  <c:v>商品Ｂ</c:v>
                </c:pt>
                <c:pt idx="2">
                  <c:v>商品Ｃ</c:v>
                </c:pt>
                <c:pt idx="3">
                  <c:v>商品Ｄ</c:v>
                </c:pt>
                <c:pt idx="4">
                  <c:v>商品Ｅ</c:v>
                </c:pt>
                <c:pt idx="5">
                  <c:v>商品Ｆ</c:v>
                </c:pt>
                <c:pt idx="6">
                  <c:v>商品Ｇ</c:v>
                </c:pt>
                <c:pt idx="7">
                  <c:v>商品Ｈ</c:v>
                </c:pt>
              </c:strCache>
            </c:strRef>
          </c:cat>
          <c:val>
            <c:numRef>
              <c:f>計算表!$G$3:$G$10</c:f>
              <c:numCache>
                <c:formatCode>#,##0_);[Red]\(#,##0\)</c:formatCode>
                <c:ptCount val="8"/>
                <c:pt idx="0">
                  <c:v>101568</c:v>
                </c:pt>
                <c:pt idx="1">
                  <c:v>89735</c:v>
                </c:pt>
                <c:pt idx="2">
                  <c:v>84456</c:v>
                </c:pt>
                <c:pt idx="3">
                  <c:v>143106</c:v>
                </c:pt>
                <c:pt idx="4">
                  <c:v>93150</c:v>
                </c:pt>
                <c:pt idx="5">
                  <c:v>70215</c:v>
                </c:pt>
                <c:pt idx="6">
                  <c:v>74893</c:v>
                </c:pt>
                <c:pt idx="7">
                  <c:v>123786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86-46A4-BD18-0E66B939EAC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100">
              <a:latin typeface="ＭＳ 明朝" pitchFamily="17" charset="-128"/>
              <a:ea typeface="ＭＳ 明朝" pitchFamily="17" charset="-128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/>
    <c:pageMargins b="0.75" l="0.7" r="0.7" t="0.75" header="0.3" footer="0.3"/>
    <c:pageSetup paperSize="13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/>
            </a:pPr>
            <a:r>
              <a:rPr lang="ja-JP" altLang="en-US" sz="1100" b="0"/>
              <a:t>販売</a:t>
            </a:r>
            <a:r>
              <a:rPr lang="ja-JP" sz="1100" b="0"/>
              <a:t>先別請求額の比較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計算表!$N$2</c:f>
              <c:strCache>
                <c:ptCount val="1"/>
                <c:pt idx="0">
                  <c:v>請求額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strRef>
              <c:f>計算表!$J$3:$J$6</c:f>
              <c:strCache>
                <c:ptCount val="4"/>
                <c:pt idx="0">
                  <c:v>空カメラ</c:v>
                </c:pt>
                <c:pt idx="1">
                  <c:v>満点電気</c:v>
                </c:pt>
                <c:pt idx="2">
                  <c:v>ＮＤＫＤ</c:v>
                </c:pt>
                <c:pt idx="3">
                  <c:v>ながの堂</c:v>
                </c:pt>
              </c:strCache>
            </c:strRef>
          </c:cat>
          <c:val>
            <c:numRef>
              <c:f>計算表!$N$3:$N$6</c:f>
              <c:numCache>
                <c:formatCode>#,##0_);[Red]\(#,##0\)</c:formatCode>
                <c:ptCount val="4"/>
                <c:pt idx="0">
                  <c:v>1941690</c:v>
                </c:pt>
                <c:pt idx="1">
                  <c:v>1932470</c:v>
                </c:pt>
                <c:pt idx="2">
                  <c:v>1924620</c:v>
                </c:pt>
                <c:pt idx="3">
                  <c:v>1899260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22-464B-B34F-81E95CFD23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196032"/>
        <c:axId val="113210112"/>
      </c:barChart>
      <c:catAx>
        <c:axId val="1131960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3210112"/>
        <c:crosses val="autoZero"/>
        <c:auto val="1"/>
        <c:lblAlgn val="ctr"/>
        <c:lblOffset val="100"/>
        <c:noMultiLvlLbl val="0"/>
      </c:catAx>
      <c:valAx>
        <c:axId val="113210112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113196032"/>
        <c:crosses val="autoZero"/>
        <c:crossBetween val="between"/>
      </c:valAx>
      <c:spPr>
        <a:ln>
          <a:solidFill>
            <a:sysClr val="window" lastClr="FFFFFF">
              <a:lumMod val="65000"/>
            </a:sysClr>
          </a:solidFill>
        </a:ln>
      </c:spPr>
    </c:plotArea>
    <c:legend>
      <c:legendPos val="r"/>
      <c:overlay val="0"/>
      <c:spPr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 sz="1100"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 paperSize="13" orientation="portrait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13</xdr:row>
      <xdr:rowOff>80962</xdr:rowOff>
    </xdr:from>
    <xdr:to>
      <xdr:col>6</xdr:col>
      <xdr:colOff>514350</xdr:colOff>
      <xdr:row>29</xdr:row>
      <xdr:rowOff>47625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19050</xdr:colOff>
      <xdr:row>13</xdr:row>
      <xdr:rowOff>80962</xdr:rowOff>
    </xdr:from>
    <xdr:to>
      <xdr:col>15</xdr:col>
      <xdr:colOff>19050</xdr:colOff>
      <xdr:row>29</xdr:row>
      <xdr:rowOff>142875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tabSelected="1" zoomScaleNormal="100" workbookViewId="0"/>
  </sheetViews>
  <sheetFormatPr defaultRowHeight="13.5"/>
  <cols>
    <col min="1" max="1" width="7.5" bestFit="1" customWidth="1"/>
    <col min="2" max="2" width="9.5" bestFit="1" customWidth="1"/>
    <col min="3" max="3" width="11.625" bestFit="1" customWidth="1"/>
    <col min="4" max="4" width="5.5" customWidth="1"/>
    <col min="5" max="5" width="7.5" customWidth="1"/>
    <col min="6" max="6" width="5.5" bestFit="1" customWidth="1"/>
    <col min="7" max="7" width="6.5" bestFit="1" customWidth="1"/>
    <col min="8" max="8" width="11.625" bestFit="1" customWidth="1"/>
    <col min="9" max="9" width="5.5" customWidth="1"/>
    <col min="10" max="10" width="5.5" bestFit="1" customWidth="1"/>
    <col min="11" max="11" width="7.5" bestFit="1" customWidth="1"/>
    <col min="12" max="12" width="5.125" customWidth="1"/>
  </cols>
  <sheetData>
    <row r="1" spans="1:11">
      <c r="A1" t="s">
        <v>21</v>
      </c>
      <c r="E1" t="s">
        <v>15</v>
      </c>
      <c r="J1" t="s">
        <v>23</v>
      </c>
    </row>
    <row r="2" spans="1:11">
      <c r="A2" s="8" t="s">
        <v>17</v>
      </c>
      <c r="B2" s="16" t="s">
        <v>22</v>
      </c>
      <c r="C2" s="16" t="s">
        <v>30</v>
      </c>
      <c r="E2" s="8" t="s">
        <v>0</v>
      </c>
      <c r="F2" s="8" t="s">
        <v>31</v>
      </c>
      <c r="G2" s="16" t="s">
        <v>9</v>
      </c>
      <c r="H2" s="16" t="s">
        <v>12</v>
      </c>
      <c r="J2" s="8" t="s">
        <v>10</v>
      </c>
      <c r="K2" s="8" t="s">
        <v>24</v>
      </c>
    </row>
    <row r="3" spans="1:11">
      <c r="A3" s="17">
        <v>101</v>
      </c>
      <c r="B3" s="17" t="s">
        <v>32</v>
      </c>
      <c r="C3" s="1">
        <v>1900000</v>
      </c>
      <c r="E3" s="7">
        <v>11</v>
      </c>
      <c r="F3" s="17" t="s">
        <v>36</v>
      </c>
      <c r="G3" s="22">
        <v>2300</v>
      </c>
      <c r="H3" s="22">
        <v>67</v>
      </c>
      <c r="J3" s="7">
        <v>1</v>
      </c>
      <c r="K3" s="49">
        <v>8.6999999999999994E-2</v>
      </c>
    </row>
    <row r="4" spans="1:11">
      <c r="A4" s="17">
        <v>102</v>
      </c>
      <c r="B4" s="17" t="s">
        <v>33</v>
      </c>
      <c r="C4" s="1">
        <v>1890000</v>
      </c>
      <c r="E4" s="7">
        <v>12</v>
      </c>
      <c r="F4" s="17" t="s">
        <v>37</v>
      </c>
      <c r="G4" s="22">
        <v>2550</v>
      </c>
      <c r="H4" s="22">
        <v>64</v>
      </c>
      <c r="J4" s="7">
        <v>2</v>
      </c>
      <c r="K4" s="49">
        <v>7.4999999999999997E-2</v>
      </c>
    </row>
    <row r="5" spans="1:11">
      <c r="A5" s="17">
        <v>103</v>
      </c>
      <c r="B5" s="17" t="s">
        <v>34</v>
      </c>
      <c r="C5" s="1">
        <v>1950000</v>
      </c>
      <c r="E5" s="7">
        <v>21</v>
      </c>
      <c r="F5" s="17" t="s">
        <v>38</v>
      </c>
      <c r="G5" s="22">
        <v>1800</v>
      </c>
      <c r="H5" s="22">
        <v>41</v>
      </c>
      <c r="J5" s="7">
        <v>3</v>
      </c>
      <c r="K5" s="49">
        <v>7.0999999999999994E-2</v>
      </c>
    </row>
    <row r="6" spans="1:11">
      <c r="A6" s="17">
        <v>201</v>
      </c>
      <c r="B6" s="17" t="s">
        <v>35</v>
      </c>
      <c r="C6" s="1">
        <v>1870000</v>
      </c>
      <c r="E6" s="7">
        <v>22</v>
      </c>
      <c r="F6" s="17" t="s">
        <v>39</v>
      </c>
      <c r="G6" s="22">
        <v>3050</v>
      </c>
      <c r="H6" s="22">
        <v>44</v>
      </c>
    </row>
    <row r="7" spans="1:11">
      <c r="E7" s="7">
        <v>31</v>
      </c>
      <c r="F7" s="17" t="s">
        <v>40</v>
      </c>
      <c r="G7" s="22">
        <v>2700</v>
      </c>
      <c r="H7" s="22">
        <v>58</v>
      </c>
    </row>
    <row r="8" spans="1:11">
      <c r="E8" s="7">
        <v>32</v>
      </c>
      <c r="F8" s="17" t="s">
        <v>41</v>
      </c>
      <c r="G8" s="22">
        <v>2120</v>
      </c>
      <c r="H8" s="22">
        <v>67</v>
      </c>
    </row>
    <row r="9" spans="1:11">
      <c r="E9" s="7">
        <v>41</v>
      </c>
      <c r="F9" s="17" t="s">
        <v>42</v>
      </c>
      <c r="G9" s="22">
        <v>2010</v>
      </c>
      <c r="H9" s="22">
        <v>48</v>
      </c>
    </row>
    <row r="10" spans="1:11">
      <c r="E10" s="7">
        <v>42</v>
      </c>
      <c r="F10" s="17" t="s">
        <v>43</v>
      </c>
      <c r="G10" s="22">
        <v>2990</v>
      </c>
      <c r="H10" s="22">
        <v>56</v>
      </c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7"/>
  <sheetViews>
    <sheetView zoomScaleNormal="100" workbookViewId="0"/>
  </sheetViews>
  <sheetFormatPr defaultRowHeight="13.5"/>
  <cols>
    <col min="1" max="1" width="7.5" bestFit="1" customWidth="1"/>
    <col min="2" max="2" width="7.5" customWidth="1"/>
    <col min="3" max="3" width="6.5" bestFit="1" customWidth="1"/>
    <col min="4" max="4" width="8.5" bestFit="1" customWidth="1"/>
    <col min="5" max="5" width="10.5" bestFit="1" customWidth="1"/>
  </cols>
  <sheetData>
    <row r="1" spans="1:5">
      <c r="A1" s="4" t="s">
        <v>0</v>
      </c>
      <c r="B1" s="5" t="s">
        <v>7</v>
      </c>
      <c r="C1" s="5" t="s">
        <v>5</v>
      </c>
      <c r="D1" s="20" t="s">
        <v>16</v>
      </c>
      <c r="E1" s="21" t="s">
        <v>6</v>
      </c>
    </row>
    <row r="2" spans="1:5">
      <c r="A2" s="48">
        <v>11</v>
      </c>
      <c r="B2" s="31">
        <v>194</v>
      </c>
      <c r="C2" s="18">
        <v>1804</v>
      </c>
      <c r="D2" s="1">
        <f>ROUNDDOWN(IF(OR(B2&gt;180,C2&gt;2000),C2*B2*4.3%,C2*B2*5.1%),-1)</f>
        <v>15040</v>
      </c>
      <c r="E2" s="3">
        <f t="shared" ref="E2:E25" si="0">C2*B2+D2</f>
        <v>365016</v>
      </c>
    </row>
    <row r="3" spans="1:5">
      <c r="A3" s="48">
        <v>12</v>
      </c>
      <c r="B3" s="31">
        <v>182</v>
      </c>
      <c r="C3" s="18">
        <v>1900</v>
      </c>
      <c r="D3" s="1">
        <f t="shared" ref="D3:D25" si="1">ROUNDDOWN(IF(OR(B3&gt;180,C3&gt;2000),C3*B3*4.3%,C3*B3*5.1%),-1)</f>
        <v>14860</v>
      </c>
      <c r="E3" s="3">
        <f t="shared" si="0"/>
        <v>360660</v>
      </c>
    </row>
    <row r="4" spans="1:5">
      <c r="A4" s="48">
        <v>21</v>
      </c>
      <c r="B4" s="31">
        <v>155</v>
      </c>
      <c r="C4" s="18">
        <v>1396</v>
      </c>
      <c r="D4" s="1">
        <f t="shared" si="1"/>
        <v>11030</v>
      </c>
      <c r="E4" s="3">
        <f t="shared" si="0"/>
        <v>227410</v>
      </c>
    </row>
    <row r="5" spans="1:5">
      <c r="A5" s="48">
        <v>22</v>
      </c>
      <c r="B5" s="31">
        <v>157</v>
      </c>
      <c r="C5" s="18">
        <v>2284</v>
      </c>
      <c r="D5" s="1">
        <f t="shared" si="1"/>
        <v>15410</v>
      </c>
      <c r="E5" s="3">
        <f t="shared" si="0"/>
        <v>373998</v>
      </c>
    </row>
    <row r="6" spans="1:5">
      <c r="A6" s="46">
        <v>31</v>
      </c>
      <c r="B6" s="31">
        <v>73</v>
      </c>
      <c r="C6" s="18">
        <v>1919</v>
      </c>
      <c r="D6" s="1">
        <f t="shared" si="1"/>
        <v>7140</v>
      </c>
      <c r="E6" s="3">
        <f t="shared" si="0"/>
        <v>147227</v>
      </c>
    </row>
    <row r="7" spans="1:5">
      <c r="A7" s="9">
        <v>32</v>
      </c>
      <c r="B7" s="30">
        <v>137</v>
      </c>
      <c r="C7" s="1">
        <v>1610</v>
      </c>
      <c r="D7" s="1">
        <f t="shared" si="1"/>
        <v>11240</v>
      </c>
      <c r="E7" s="3">
        <f t="shared" si="0"/>
        <v>231810</v>
      </c>
    </row>
    <row r="8" spans="1:5">
      <c r="A8" s="9">
        <v>41</v>
      </c>
      <c r="B8" s="30">
        <v>107</v>
      </c>
      <c r="C8" s="1">
        <v>1557</v>
      </c>
      <c r="D8" s="1">
        <f t="shared" si="1"/>
        <v>8490</v>
      </c>
      <c r="E8" s="3">
        <f t="shared" si="0"/>
        <v>175089</v>
      </c>
    </row>
    <row r="9" spans="1:5">
      <c r="A9" s="9">
        <v>42</v>
      </c>
      <c r="B9" s="30">
        <v>110</v>
      </c>
      <c r="C9" s="1">
        <v>2037</v>
      </c>
      <c r="D9" s="1">
        <f t="shared" si="1"/>
        <v>9630</v>
      </c>
      <c r="E9" s="3">
        <f t="shared" si="0"/>
        <v>233700</v>
      </c>
    </row>
    <row r="10" spans="1:5">
      <c r="A10" s="29">
        <v>11</v>
      </c>
      <c r="B10" s="30">
        <v>162</v>
      </c>
      <c r="C10" s="1">
        <v>1745</v>
      </c>
      <c r="D10" s="1">
        <f t="shared" si="1"/>
        <v>14410</v>
      </c>
      <c r="E10" s="3">
        <f t="shared" si="0"/>
        <v>297100</v>
      </c>
    </row>
    <row r="11" spans="1:5">
      <c r="A11" s="29">
        <v>12</v>
      </c>
      <c r="B11" s="30">
        <v>73</v>
      </c>
      <c r="C11" s="1">
        <v>1920</v>
      </c>
      <c r="D11" s="1">
        <f t="shared" si="1"/>
        <v>7140</v>
      </c>
      <c r="E11" s="3">
        <f t="shared" si="0"/>
        <v>147300</v>
      </c>
    </row>
    <row r="12" spans="1:5">
      <c r="A12" s="29">
        <v>21</v>
      </c>
      <c r="B12" s="30">
        <v>154</v>
      </c>
      <c r="C12" s="1">
        <v>1369</v>
      </c>
      <c r="D12" s="1">
        <f t="shared" si="1"/>
        <v>10750</v>
      </c>
      <c r="E12" s="3">
        <f t="shared" si="0"/>
        <v>221576</v>
      </c>
    </row>
    <row r="13" spans="1:5">
      <c r="A13" s="29">
        <v>22</v>
      </c>
      <c r="B13" s="30">
        <v>139</v>
      </c>
      <c r="C13" s="1">
        <v>2362</v>
      </c>
      <c r="D13" s="1">
        <f t="shared" si="1"/>
        <v>14110</v>
      </c>
      <c r="E13" s="3">
        <f t="shared" si="0"/>
        <v>342428</v>
      </c>
    </row>
    <row r="14" spans="1:5">
      <c r="A14" s="9">
        <v>31</v>
      </c>
      <c r="B14" s="30">
        <v>202</v>
      </c>
      <c r="C14" s="1">
        <v>2058</v>
      </c>
      <c r="D14" s="1">
        <f t="shared" si="1"/>
        <v>17870</v>
      </c>
      <c r="E14" s="3">
        <f t="shared" si="0"/>
        <v>433586</v>
      </c>
    </row>
    <row r="15" spans="1:5">
      <c r="A15" s="9">
        <v>32</v>
      </c>
      <c r="B15" s="30">
        <v>183</v>
      </c>
      <c r="C15" s="1">
        <v>1582</v>
      </c>
      <c r="D15" s="1">
        <f t="shared" si="1"/>
        <v>12440</v>
      </c>
      <c r="E15" s="3">
        <f t="shared" si="0"/>
        <v>301946</v>
      </c>
    </row>
    <row r="16" spans="1:5">
      <c r="A16" s="9">
        <v>41</v>
      </c>
      <c r="B16" s="30">
        <v>160</v>
      </c>
      <c r="C16" s="1">
        <v>1479</v>
      </c>
      <c r="D16" s="1">
        <f t="shared" si="1"/>
        <v>12060</v>
      </c>
      <c r="E16" s="3">
        <f t="shared" si="0"/>
        <v>248700</v>
      </c>
    </row>
    <row r="17" spans="1:5">
      <c r="A17" s="9">
        <v>42</v>
      </c>
      <c r="B17" s="30">
        <v>96</v>
      </c>
      <c r="C17" s="1">
        <v>2120</v>
      </c>
      <c r="D17" s="1">
        <f t="shared" si="1"/>
        <v>8750</v>
      </c>
      <c r="E17" s="3">
        <f t="shared" si="0"/>
        <v>212270</v>
      </c>
    </row>
    <row r="18" spans="1:5">
      <c r="A18" s="29">
        <v>11</v>
      </c>
      <c r="B18" s="30">
        <v>110</v>
      </c>
      <c r="C18" s="1">
        <v>1713</v>
      </c>
      <c r="D18" s="1">
        <f t="shared" si="1"/>
        <v>9600</v>
      </c>
      <c r="E18" s="3">
        <f t="shared" si="0"/>
        <v>198030</v>
      </c>
    </row>
    <row r="19" spans="1:5">
      <c r="A19" s="29">
        <v>12</v>
      </c>
      <c r="B19" s="30">
        <v>116</v>
      </c>
      <c r="C19" s="1">
        <v>2000</v>
      </c>
      <c r="D19" s="1">
        <f t="shared" si="1"/>
        <v>11830</v>
      </c>
      <c r="E19" s="3">
        <f t="shared" si="0"/>
        <v>243830</v>
      </c>
    </row>
    <row r="20" spans="1:5">
      <c r="A20" s="29">
        <v>21</v>
      </c>
      <c r="B20" s="30">
        <v>180</v>
      </c>
      <c r="C20" s="1">
        <v>1343</v>
      </c>
      <c r="D20" s="1">
        <f t="shared" si="1"/>
        <v>12320</v>
      </c>
      <c r="E20" s="3">
        <f t="shared" si="0"/>
        <v>254060</v>
      </c>
    </row>
    <row r="21" spans="1:5">
      <c r="A21" s="29">
        <v>22</v>
      </c>
      <c r="B21" s="30">
        <v>111</v>
      </c>
      <c r="C21" s="1">
        <v>2337</v>
      </c>
      <c r="D21" s="1">
        <f t="shared" si="1"/>
        <v>11150</v>
      </c>
      <c r="E21" s="3">
        <f t="shared" si="0"/>
        <v>270557</v>
      </c>
    </row>
    <row r="22" spans="1:5">
      <c r="A22" s="9">
        <v>31</v>
      </c>
      <c r="B22" s="30">
        <v>157</v>
      </c>
      <c r="C22" s="1">
        <v>2105</v>
      </c>
      <c r="D22" s="1">
        <f t="shared" si="1"/>
        <v>14210</v>
      </c>
      <c r="E22" s="3">
        <f t="shared" si="0"/>
        <v>344695</v>
      </c>
    </row>
    <row r="23" spans="1:5">
      <c r="A23" s="9">
        <v>32</v>
      </c>
      <c r="B23" s="30">
        <v>87</v>
      </c>
      <c r="C23" s="1">
        <v>1644</v>
      </c>
      <c r="D23" s="1">
        <f t="shared" si="1"/>
        <v>7290</v>
      </c>
      <c r="E23" s="3">
        <f t="shared" si="0"/>
        <v>150318</v>
      </c>
    </row>
    <row r="24" spans="1:5">
      <c r="A24" s="9">
        <v>41</v>
      </c>
      <c r="B24" s="30">
        <v>181</v>
      </c>
      <c r="C24" s="1">
        <v>1558</v>
      </c>
      <c r="D24" s="1">
        <f t="shared" si="1"/>
        <v>12120</v>
      </c>
      <c r="E24" s="3">
        <f t="shared" si="0"/>
        <v>294118</v>
      </c>
    </row>
    <row r="25" spans="1:5">
      <c r="A25" s="9">
        <v>42</v>
      </c>
      <c r="B25" s="30">
        <v>195</v>
      </c>
      <c r="C25" s="1">
        <v>2214</v>
      </c>
      <c r="D25" s="1">
        <f t="shared" si="1"/>
        <v>18560</v>
      </c>
      <c r="E25" s="3">
        <f t="shared" si="0"/>
        <v>450290</v>
      </c>
    </row>
    <row r="26" spans="1:5">
      <c r="A26" s="24"/>
      <c r="B26" s="1"/>
      <c r="C26" s="1"/>
      <c r="D26" s="1"/>
      <c r="E26" s="3"/>
    </row>
    <row r="27" spans="1:5" ht="14.25" thickBot="1">
      <c r="A27" s="25" t="s">
        <v>44</v>
      </c>
      <c r="B27" s="15">
        <f>SUM(B2:B25)</f>
        <v>3421</v>
      </c>
      <c r="C27" s="15"/>
      <c r="D27" s="15">
        <f>SUM(D2:D25)</f>
        <v>287450</v>
      </c>
      <c r="E27" s="2">
        <f t="shared" ref="E27" si="2">SUM(E2:E25)</f>
        <v>6525714</v>
      </c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0"/>
  <sheetViews>
    <sheetView zoomScaleNormal="100" workbookViewId="0"/>
  </sheetViews>
  <sheetFormatPr defaultRowHeight="13.5"/>
  <cols>
    <col min="1" max="1" width="7.5" bestFit="1" customWidth="1"/>
    <col min="2" max="2" width="9.5" bestFit="1" customWidth="1"/>
    <col min="3" max="3" width="7.5" customWidth="1"/>
    <col min="4" max="4" width="7.5" bestFit="1" customWidth="1"/>
    <col min="5" max="5" width="6.5" bestFit="1" customWidth="1"/>
    <col min="6" max="6" width="10.5" bestFit="1" customWidth="1"/>
    <col min="7" max="7" width="7.5" bestFit="1" customWidth="1"/>
  </cols>
  <sheetData>
    <row r="1" spans="1:6">
      <c r="A1" s="4" t="s">
        <v>17</v>
      </c>
      <c r="B1" s="5" t="s">
        <v>18</v>
      </c>
      <c r="C1" s="5" t="s">
        <v>0</v>
      </c>
      <c r="D1" s="5" t="s">
        <v>19</v>
      </c>
      <c r="E1" s="5" t="s">
        <v>8</v>
      </c>
      <c r="F1" s="6" t="s">
        <v>20</v>
      </c>
    </row>
    <row r="2" spans="1:6">
      <c r="A2" s="9">
        <v>101</v>
      </c>
      <c r="B2" s="7" t="str">
        <f>VLOOKUP(A2,テーブル!$A$3:$C$6,2,0)</f>
        <v>空カメラ</v>
      </c>
      <c r="C2" s="7">
        <v>11</v>
      </c>
      <c r="D2" s="7">
        <v>173</v>
      </c>
      <c r="E2" s="31">
        <f>ROUNDUP(VLOOKUP(C2,テーブル!$E$3:$H$10,3,0)*(1-VLOOKUP(MOD(A2,10),テーブル!$J$3:$K$5,2,0)),-1)</f>
        <v>2100</v>
      </c>
      <c r="F2" s="32">
        <f>E2*D2</f>
        <v>363300</v>
      </c>
    </row>
    <row r="3" spans="1:6">
      <c r="A3" s="9">
        <v>101</v>
      </c>
      <c r="B3" s="7" t="str">
        <f>VLOOKUP(A3,テーブル!$A$3:$C$6,2,0)</f>
        <v>空カメラ</v>
      </c>
      <c r="C3" s="7">
        <v>21</v>
      </c>
      <c r="D3" s="7">
        <v>157</v>
      </c>
      <c r="E3" s="31">
        <f>ROUNDUP(VLOOKUP(C3,テーブル!$E$3:$H$10,3,0)*(1-VLOOKUP(MOD(A3,10),テーブル!$J$3:$K$5,2,0)),-1)</f>
        <v>1650</v>
      </c>
      <c r="F3" s="32">
        <f t="shared" ref="F3:F25" si="0">E3*D3</f>
        <v>259050</v>
      </c>
    </row>
    <row r="4" spans="1:6">
      <c r="A4" s="9">
        <v>101</v>
      </c>
      <c r="B4" s="7" t="str">
        <f>VLOOKUP(A4,テーブル!$A$3:$C$6,2,0)</f>
        <v>空カメラ</v>
      </c>
      <c r="C4" s="7">
        <v>22</v>
      </c>
      <c r="D4" s="7">
        <v>111</v>
      </c>
      <c r="E4" s="31">
        <f>ROUNDUP(VLOOKUP(C4,テーブル!$E$3:$H$10,3,0)*(1-VLOOKUP(MOD(A4,10),テーブル!$J$3:$K$5,2,0)),-1)</f>
        <v>2790</v>
      </c>
      <c r="F4" s="32">
        <f t="shared" si="0"/>
        <v>309690</v>
      </c>
    </row>
    <row r="5" spans="1:6">
      <c r="A5" s="9">
        <v>101</v>
      </c>
      <c r="B5" s="7" t="str">
        <f>VLOOKUP(A5,テーブル!$A$3:$C$6,2,0)</f>
        <v>空カメラ</v>
      </c>
      <c r="C5" s="7">
        <v>32</v>
      </c>
      <c r="D5" s="7">
        <v>142</v>
      </c>
      <c r="E5" s="31">
        <f>ROUNDUP(VLOOKUP(C5,テーブル!$E$3:$H$10,3,0)*(1-VLOOKUP(MOD(A5,10),テーブル!$J$3:$K$5,2,0)),-1)</f>
        <v>1940</v>
      </c>
      <c r="F5" s="32">
        <f t="shared" si="0"/>
        <v>275480</v>
      </c>
    </row>
    <row r="6" spans="1:6">
      <c r="A6" s="9">
        <v>101</v>
      </c>
      <c r="B6" s="7" t="str">
        <f>VLOOKUP(A6,テーブル!$A$3:$C$6,2,0)</f>
        <v>空カメラ</v>
      </c>
      <c r="C6" s="7">
        <v>41</v>
      </c>
      <c r="D6" s="7">
        <v>187</v>
      </c>
      <c r="E6" s="31">
        <f>ROUNDUP(VLOOKUP(C6,テーブル!$E$3:$H$10,3,0)*(1-VLOOKUP(MOD(A6,10),テーブル!$J$3:$K$5,2,0)),-1)</f>
        <v>1840</v>
      </c>
      <c r="F6" s="32">
        <f t="shared" si="0"/>
        <v>344080</v>
      </c>
    </row>
    <row r="7" spans="1:6">
      <c r="A7" s="9">
        <v>101</v>
      </c>
      <c r="B7" s="7" t="str">
        <f>VLOOKUP(A7,テーブル!$A$3:$C$6,2,0)</f>
        <v>空カメラ</v>
      </c>
      <c r="C7" s="7">
        <v>42</v>
      </c>
      <c r="D7" s="7">
        <v>131</v>
      </c>
      <c r="E7" s="31">
        <f>ROUNDUP(VLOOKUP(C7,テーブル!$E$3:$H$10,3,0)*(1-VLOOKUP(MOD(A7,10),テーブル!$J$3:$K$5,2,0)),-1)</f>
        <v>2730</v>
      </c>
      <c r="F7" s="32">
        <f t="shared" si="0"/>
        <v>357630</v>
      </c>
    </row>
    <row r="8" spans="1:6">
      <c r="A8" s="9">
        <v>102</v>
      </c>
      <c r="B8" s="7" t="str">
        <f>VLOOKUP(A8,テーブル!$A$3:$C$6,2,0)</f>
        <v>ＮＤＫＤ</v>
      </c>
      <c r="C8" s="7">
        <v>11</v>
      </c>
      <c r="D8" s="7">
        <v>165</v>
      </c>
      <c r="E8" s="31">
        <f>ROUNDUP(VLOOKUP(C8,テーブル!$E$3:$H$10,3,0)*(1-VLOOKUP(MOD(A8,10),テーブル!$J$3:$K$5,2,0)),-1)</f>
        <v>2130</v>
      </c>
      <c r="F8" s="32">
        <f t="shared" si="0"/>
        <v>351450</v>
      </c>
    </row>
    <row r="9" spans="1:6">
      <c r="A9" s="9">
        <v>102</v>
      </c>
      <c r="B9" s="7" t="str">
        <f>VLOOKUP(A9,テーブル!$A$3:$C$6,2,0)</f>
        <v>ＮＤＫＤ</v>
      </c>
      <c r="C9" s="7">
        <v>12</v>
      </c>
      <c r="D9" s="7">
        <v>124</v>
      </c>
      <c r="E9" s="31">
        <f>ROUNDUP(VLOOKUP(C9,テーブル!$E$3:$H$10,3,0)*(1-VLOOKUP(MOD(A9,10),テーブル!$J$3:$K$5,2,0)),-1)</f>
        <v>2360</v>
      </c>
      <c r="F9" s="32">
        <f t="shared" si="0"/>
        <v>292640</v>
      </c>
    </row>
    <row r="10" spans="1:6">
      <c r="A10" s="9">
        <v>102</v>
      </c>
      <c r="B10" s="7" t="str">
        <f>VLOOKUP(A10,テーブル!$A$3:$C$6,2,0)</f>
        <v>ＮＤＫＤ</v>
      </c>
      <c r="C10" s="7">
        <v>21</v>
      </c>
      <c r="D10" s="7">
        <v>148</v>
      </c>
      <c r="E10" s="31">
        <f>ROUNDUP(VLOOKUP(C10,テーブル!$E$3:$H$10,3,0)*(1-VLOOKUP(MOD(A10,10),テーブル!$J$3:$K$5,2,0)),-1)</f>
        <v>1670</v>
      </c>
      <c r="F10" s="32">
        <f t="shared" si="0"/>
        <v>247160</v>
      </c>
    </row>
    <row r="11" spans="1:6">
      <c r="A11" s="9">
        <v>102</v>
      </c>
      <c r="B11" s="7" t="str">
        <f>VLOOKUP(A11,テーブル!$A$3:$C$6,2,0)</f>
        <v>ＮＤＫＤ</v>
      </c>
      <c r="C11" s="7">
        <v>22</v>
      </c>
      <c r="D11" s="7">
        <v>138</v>
      </c>
      <c r="E11" s="31">
        <f>ROUNDUP(VLOOKUP(C11,テーブル!$E$3:$H$10,3,0)*(1-VLOOKUP(MOD(A11,10),テーブル!$J$3:$K$5,2,0)),-1)</f>
        <v>2830</v>
      </c>
      <c r="F11" s="32">
        <f t="shared" si="0"/>
        <v>390540</v>
      </c>
    </row>
    <row r="12" spans="1:6">
      <c r="A12" s="9">
        <v>102</v>
      </c>
      <c r="B12" s="7" t="str">
        <f>VLOOKUP(A12,テーブル!$A$3:$C$6,2,0)</f>
        <v>ＮＤＫＤ</v>
      </c>
      <c r="C12" s="7">
        <v>31</v>
      </c>
      <c r="D12" s="7">
        <v>130</v>
      </c>
      <c r="E12" s="31">
        <f>ROUNDUP(VLOOKUP(C12,テーブル!$E$3:$H$10,3,0)*(1-VLOOKUP(MOD(A12,10),テーブル!$J$3:$K$5,2,0)),-1)</f>
        <v>2500</v>
      </c>
      <c r="F12" s="32">
        <f t="shared" si="0"/>
        <v>325000</v>
      </c>
    </row>
    <row r="13" spans="1:6">
      <c r="A13" s="9">
        <v>102</v>
      </c>
      <c r="B13" s="7" t="str">
        <f>VLOOKUP(A13,テーブル!$A$3:$C$6,2,0)</f>
        <v>ＮＤＫＤ</v>
      </c>
      <c r="C13" s="7">
        <v>32</v>
      </c>
      <c r="D13" s="7">
        <v>145</v>
      </c>
      <c r="E13" s="31">
        <f>ROUNDUP(VLOOKUP(C13,テーブル!$E$3:$H$10,3,0)*(1-VLOOKUP(MOD(A13,10),テーブル!$J$3:$K$5,2,0)),-1)</f>
        <v>1970</v>
      </c>
      <c r="F13" s="32">
        <f t="shared" si="0"/>
        <v>285650</v>
      </c>
    </row>
    <row r="14" spans="1:6">
      <c r="A14" s="9">
        <v>103</v>
      </c>
      <c r="B14" s="7" t="str">
        <f>VLOOKUP(A14,テーブル!$A$3:$C$6,2,0)</f>
        <v>満点電気</v>
      </c>
      <c r="C14" s="7">
        <v>12</v>
      </c>
      <c r="D14" s="7">
        <v>95</v>
      </c>
      <c r="E14" s="31">
        <f>ROUNDUP(VLOOKUP(C14,テーブル!$E$3:$H$10,3,0)*(1-VLOOKUP(MOD(A14,10),テーブル!$J$3:$K$5,2,0)),-1)</f>
        <v>2370</v>
      </c>
      <c r="F14" s="32">
        <f t="shared" si="0"/>
        <v>225150</v>
      </c>
    </row>
    <row r="15" spans="1:6">
      <c r="A15" s="9">
        <v>103</v>
      </c>
      <c r="B15" s="7" t="str">
        <f>VLOOKUP(A15,テーブル!$A$3:$C$6,2,0)</f>
        <v>満点電気</v>
      </c>
      <c r="C15" s="7">
        <v>21</v>
      </c>
      <c r="D15" s="7">
        <v>157</v>
      </c>
      <c r="E15" s="31">
        <f>ROUNDUP(VLOOKUP(C15,テーブル!$E$3:$H$10,3,0)*(1-VLOOKUP(MOD(A15,10),テーブル!$J$3:$K$5,2,0)),-1)</f>
        <v>1680</v>
      </c>
      <c r="F15" s="32">
        <f t="shared" si="0"/>
        <v>263760</v>
      </c>
    </row>
    <row r="16" spans="1:6">
      <c r="A16" s="9">
        <v>103</v>
      </c>
      <c r="B16" s="7" t="str">
        <f>VLOOKUP(A16,テーブル!$A$3:$C$6,2,0)</f>
        <v>満点電気</v>
      </c>
      <c r="C16" s="7">
        <v>22</v>
      </c>
      <c r="D16" s="7">
        <v>134</v>
      </c>
      <c r="E16" s="31">
        <f>ROUNDUP(VLOOKUP(C16,テーブル!$E$3:$H$10,3,0)*(1-VLOOKUP(MOD(A16,10),テーブル!$J$3:$K$5,2,0)),-1)</f>
        <v>2840</v>
      </c>
      <c r="F16" s="32">
        <f t="shared" si="0"/>
        <v>380560</v>
      </c>
    </row>
    <row r="17" spans="1:6">
      <c r="A17" s="9">
        <v>103</v>
      </c>
      <c r="B17" s="7" t="str">
        <f>VLOOKUP(A17,テーブル!$A$3:$C$6,2,0)</f>
        <v>満点電気</v>
      </c>
      <c r="C17" s="7">
        <v>31</v>
      </c>
      <c r="D17" s="7">
        <v>179</v>
      </c>
      <c r="E17" s="31">
        <f>ROUNDUP(VLOOKUP(C17,テーブル!$E$3:$H$10,3,0)*(1-VLOOKUP(MOD(A17,10),テーブル!$J$3:$K$5,2,0)),-1)</f>
        <v>2510</v>
      </c>
      <c r="F17" s="32">
        <f t="shared" si="0"/>
        <v>449290</v>
      </c>
    </row>
    <row r="18" spans="1:6">
      <c r="A18" s="9">
        <v>103</v>
      </c>
      <c r="B18" s="7" t="str">
        <f>VLOOKUP(A18,テーブル!$A$3:$C$6,2,0)</f>
        <v>満点電気</v>
      </c>
      <c r="C18" s="7">
        <v>41</v>
      </c>
      <c r="D18" s="7">
        <v>134</v>
      </c>
      <c r="E18" s="31">
        <f>ROUNDUP(VLOOKUP(C18,テーブル!$E$3:$H$10,3,0)*(1-VLOOKUP(MOD(A18,10),テーブル!$J$3:$K$5,2,0)),-1)</f>
        <v>1870</v>
      </c>
      <c r="F18" s="32">
        <f t="shared" si="0"/>
        <v>250580</v>
      </c>
    </row>
    <row r="19" spans="1:6">
      <c r="A19" s="9">
        <v>103</v>
      </c>
      <c r="B19" s="7" t="str">
        <f>VLOOKUP(A19,テーブル!$A$3:$C$6,2,0)</f>
        <v>満点電気</v>
      </c>
      <c r="C19" s="7">
        <v>42</v>
      </c>
      <c r="D19" s="7">
        <v>119</v>
      </c>
      <c r="E19" s="31">
        <f>ROUNDUP(VLOOKUP(C19,テーブル!$E$3:$H$10,3,0)*(1-VLOOKUP(MOD(A19,10),テーブル!$J$3:$K$5,2,0)),-1)</f>
        <v>2780</v>
      </c>
      <c r="F19" s="32">
        <f t="shared" si="0"/>
        <v>330820</v>
      </c>
    </row>
    <row r="20" spans="1:6">
      <c r="A20" s="9">
        <v>201</v>
      </c>
      <c r="B20" s="7" t="str">
        <f>VLOOKUP(A20,テーブル!$A$3:$C$6,2,0)</f>
        <v>ながの堂</v>
      </c>
      <c r="C20" s="7">
        <v>11</v>
      </c>
      <c r="D20" s="7">
        <v>131</v>
      </c>
      <c r="E20" s="31">
        <f>ROUNDUP(VLOOKUP(C20,テーブル!$E$3:$H$10,3,0)*(1-VLOOKUP(MOD(A20,10),テーブル!$J$3:$K$5,2,0)),-1)</f>
        <v>2100</v>
      </c>
      <c r="F20" s="32">
        <f t="shared" si="0"/>
        <v>275100</v>
      </c>
    </row>
    <row r="21" spans="1:6">
      <c r="A21" s="9">
        <v>201</v>
      </c>
      <c r="B21" s="7" t="str">
        <f>VLOOKUP(A21,テーブル!$A$3:$C$6,2,0)</f>
        <v>ながの堂</v>
      </c>
      <c r="C21" s="7">
        <v>12</v>
      </c>
      <c r="D21" s="7">
        <v>165</v>
      </c>
      <c r="E21" s="31">
        <f>ROUNDUP(VLOOKUP(C21,テーブル!$E$3:$H$10,3,0)*(1-VLOOKUP(MOD(A21,10),テーブル!$J$3:$K$5,2,0)),-1)</f>
        <v>2330</v>
      </c>
      <c r="F21" s="32">
        <f t="shared" si="0"/>
        <v>384450</v>
      </c>
    </row>
    <row r="22" spans="1:6">
      <c r="A22" s="9">
        <v>201</v>
      </c>
      <c r="B22" s="7" t="str">
        <f>VLOOKUP(A22,テーブル!$A$3:$C$6,2,0)</f>
        <v>ながの堂</v>
      </c>
      <c r="C22" s="7">
        <v>31</v>
      </c>
      <c r="D22" s="7">
        <v>131</v>
      </c>
      <c r="E22" s="31">
        <f>ROUNDUP(VLOOKUP(C22,テーブル!$E$3:$H$10,3,0)*(1-VLOOKUP(MOD(A22,10),テーブル!$J$3:$K$5,2,0)),-1)</f>
        <v>2470</v>
      </c>
      <c r="F22" s="32">
        <f t="shared" si="0"/>
        <v>323570</v>
      </c>
    </row>
    <row r="23" spans="1:6">
      <c r="A23" s="9">
        <v>201</v>
      </c>
      <c r="B23" s="7" t="str">
        <f>VLOOKUP(A23,テーブル!$A$3:$C$6,2,0)</f>
        <v>ながの堂</v>
      </c>
      <c r="C23" s="14">
        <v>32</v>
      </c>
      <c r="D23" s="7">
        <v>139</v>
      </c>
      <c r="E23" s="31">
        <f>ROUNDUP(VLOOKUP(C23,テーブル!$E$3:$H$10,3,0)*(1-VLOOKUP(MOD(A23,10),テーブル!$J$3:$K$5,2,0)),-1)</f>
        <v>1940</v>
      </c>
      <c r="F23" s="32">
        <f t="shared" si="0"/>
        <v>269660</v>
      </c>
    </row>
    <row r="24" spans="1:6">
      <c r="A24" s="9">
        <v>201</v>
      </c>
      <c r="B24" s="7" t="str">
        <f>VLOOKUP(A24,テーブル!$A$3:$C$6,2,0)</f>
        <v>ながの堂</v>
      </c>
      <c r="C24" s="14">
        <v>41</v>
      </c>
      <c r="D24" s="7">
        <v>121</v>
      </c>
      <c r="E24" s="31">
        <f>ROUNDUP(VLOOKUP(C24,テーブル!$E$3:$H$10,3,0)*(1-VLOOKUP(MOD(A24,10),テーブル!$J$3:$K$5,2,0)),-1)</f>
        <v>1840</v>
      </c>
      <c r="F24" s="32">
        <f t="shared" si="0"/>
        <v>222640</v>
      </c>
    </row>
    <row r="25" spans="1:6">
      <c r="A25" s="9">
        <v>201</v>
      </c>
      <c r="B25" s="7" t="str">
        <f>VLOOKUP(A25,テーブル!$A$3:$C$6,2,0)</f>
        <v>ながの堂</v>
      </c>
      <c r="C25" s="14">
        <v>42</v>
      </c>
      <c r="D25" s="7">
        <v>147</v>
      </c>
      <c r="E25" s="31">
        <f>ROUNDUP(VLOOKUP(C25,テーブル!$E$3:$H$10,3,0)*(1-VLOOKUP(MOD(A25,10),テーブル!$J$3:$K$5,2,0)),-1)</f>
        <v>2730</v>
      </c>
      <c r="F25" s="32">
        <f t="shared" si="0"/>
        <v>401310</v>
      </c>
    </row>
    <row r="26" spans="1:6">
      <c r="A26" s="38"/>
      <c r="B26" s="33"/>
      <c r="C26" s="14"/>
      <c r="D26" s="14"/>
      <c r="E26" s="14"/>
      <c r="F26" s="34"/>
    </row>
    <row r="27" spans="1:6" ht="14.25" thickBot="1">
      <c r="A27" s="11"/>
      <c r="B27" s="12" t="s">
        <v>44</v>
      </c>
      <c r="C27" s="12"/>
      <c r="D27" s="35">
        <f>SUM(D2:D25)</f>
        <v>3403</v>
      </c>
      <c r="E27" s="36"/>
      <c r="F27" s="37">
        <f>SUM(F2:F25)</f>
        <v>7578560</v>
      </c>
    </row>
    <row r="30" spans="1:6">
      <c r="F30" s="19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6"/>
  <sheetViews>
    <sheetView zoomScaleNormal="100" workbookViewId="0">
      <selection sqref="A1:G1"/>
    </sheetView>
  </sheetViews>
  <sheetFormatPr defaultRowHeight="13.5"/>
  <cols>
    <col min="1" max="1" width="7.5" customWidth="1"/>
    <col min="2" max="4" width="7.5" bestFit="1" customWidth="1"/>
    <col min="5" max="5" width="11.625" bestFit="1" customWidth="1"/>
    <col min="6" max="6" width="10.5" bestFit="1" customWidth="1"/>
    <col min="7" max="7" width="11.625" bestFit="1" customWidth="1"/>
    <col min="8" max="8" width="5.625" customWidth="1"/>
    <col min="9" max="9" width="7.25" customWidth="1"/>
    <col min="10" max="11" width="9.5" bestFit="1" customWidth="1"/>
    <col min="12" max="12" width="10.5" bestFit="1" customWidth="1"/>
    <col min="13" max="13" width="9.5" bestFit="1" customWidth="1"/>
    <col min="14" max="14" width="10.5" bestFit="1" customWidth="1"/>
    <col min="15" max="15" width="9.5" bestFit="1" customWidth="1"/>
  </cols>
  <sheetData>
    <row r="1" spans="1:16" ht="14.25" thickBot="1">
      <c r="A1" s="50" t="s">
        <v>14</v>
      </c>
      <c r="B1" s="50"/>
      <c r="C1" s="50"/>
      <c r="D1" s="50"/>
      <c r="E1" s="50"/>
      <c r="F1" s="50"/>
      <c r="G1" s="50"/>
      <c r="I1" s="50" t="s">
        <v>28</v>
      </c>
      <c r="J1" s="50"/>
      <c r="K1" s="50"/>
      <c r="L1" s="50"/>
      <c r="M1" s="50"/>
      <c r="N1" s="50"/>
      <c r="O1" s="50"/>
      <c r="P1" s="50"/>
    </row>
    <row r="2" spans="1:16">
      <c r="A2" s="4" t="s">
        <v>0</v>
      </c>
      <c r="B2" s="5" t="s">
        <v>1</v>
      </c>
      <c r="C2" s="5" t="s">
        <v>7</v>
      </c>
      <c r="D2" s="5" t="s">
        <v>19</v>
      </c>
      <c r="E2" s="5" t="s">
        <v>11</v>
      </c>
      <c r="F2" s="5" t="s">
        <v>13</v>
      </c>
      <c r="G2" s="6" t="s">
        <v>25</v>
      </c>
      <c r="I2" s="45" t="s">
        <v>17</v>
      </c>
      <c r="J2" s="20" t="s">
        <v>22</v>
      </c>
      <c r="K2" s="20" t="s">
        <v>19</v>
      </c>
      <c r="L2" s="20" t="s">
        <v>26</v>
      </c>
      <c r="M2" s="20" t="s">
        <v>2</v>
      </c>
      <c r="N2" s="20" t="s">
        <v>3</v>
      </c>
      <c r="O2" s="20" t="s">
        <v>27</v>
      </c>
      <c r="P2" s="21" t="s">
        <v>29</v>
      </c>
    </row>
    <row r="3" spans="1:16">
      <c r="A3" s="9">
        <v>11</v>
      </c>
      <c r="B3" s="7" t="str">
        <f>"商品"&amp;VLOOKUP(A3,テーブル!$E$3:$H$10,2,0)</f>
        <v>商品Ａ</v>
      </c>
      <c r="C3" s="1">
        <f>SUMIF(仕入データ表!$A$2:$A$25,A3,仕入データ表!$B$2:$B$25)</f>
        <v>466</v>
      </c>
      <c r="D3" s="1">
        <f>SUMIF(販売データ表!$C$2:$C$25,A3,販売データ表!$D$2:$D$25)</f>
        <v>469</v>
      </c>
      <c r="E3" s="1">
        <f>VLOOKUP(A3,テーブル!$E$3:$H$10,4,0)+C3-D3</f>
        <v>64</v>
      </c>
      <c r="F3" s="1">
        <f>SUMIF(販売データ表!$C$2:$C$25,$A3,販売データ表!$F$2:$F$25)-SUMIF(仕入データ表!$A$2:$A$25,$A3,仕入データ表!$E$2:$E$25)</f>
        <v>129704</v>
      </c>
      <c r="G3" s="3">
        <f>ROUNDUP(VLOOKUP(A3,テーブル!$E$3:$H$10,3,0)*E3*0.69,0)</f>
        <v>101568</v>
      </c>
      <c r="I3" s="46">
        <v>101</v>
      </c>
      <c r="J3" s="7" t="str">
        <f>VLOOKUP(I3,テーブル!$A$3:$C$6,2,0)</f>
        <v>空カメラ</v>
      </c>
      <c r="K3" s="18">
        <f>DSUM(販売データ表!$A$1:$F$25,K$2,$I$10:$I$11)</f>
        <v>901</v>
      </c>
      <c r="L3" s="18">
        <f>DSUM(販売データ表!$A$1:$F$25,L$2,$I$10:$I$11)</f>
        <v>1909230</v>
      </c>
      <c r="M3" s="18">
        <f>ROUNDUP(IF(AND(K3&lt;850,L3&lt;1900000),L3*1.2%,L3*1.7%),-1)</f>
        <v>32460</v>
      </c>
      <c r="N3" s="22">
        <f>L3+M3</f>
        <v>1941690</v>
      </c>
      <c r="O3" s="18">
        <f>ROUND(200000*N3/$N$8,-1)</f>
        <v>50450</v>
      </c>
      <c r="P3" s="40">
        <f>ROUNDDOWN(L3/VLOOKUP(I3,テーブル!$A$3:$C$6,3,0),3)</f>
        <v>1.004</v>
      </c>
    </row>
    <row r="4" spans="1:16">
      <c r="A4" s="9">
        <v>12</v>
      </c>
      <c r="B4" s="7" t="str">
        <f>"商品"&amp;VLOOKUP(A4,テーブル!$E$3:$H$10,2,0)</f>
        <v>商品Ｂ</v>
      </c>
      <c r="C4" s="1">
        <f>SUMIF(仕入データ表!$A$2:$A$25,A4,仕入データ表!$B$2:$B$25)</f>
        <v>371</v>
      </c>
      <c r="D4" s="1">
        <f>SUMIF(販売データ表!$C$2:$C$25,A4,販売データ表!$D$2:$D$25)</f>
        <v>384</v>
      </c>
      <c r="E4" s="1">
        <f>VLOOKUP(A4,テーブル!$E$3:$H$10,4,0)+C4-D4</f>
        <v>51</v>
      </c>
      <c r="F4" s="1">
        <f>SUMIF(販売データ表!$C$2:$C$25,$A4,販売データ表!$F$2:$F$25)-SUMIF(仕入データ表!$A$2:$A$25,$A4,仕入データ表!$E$2:$E$25)</f>
        <v>150450</v>
      </c>
      <c r="G4" s="3">
        <f>ROUNDUP(VLOOKUP(A4,テーブル!$E$3:$H$10,3,0)*E4*0.69,0)</f>
        <v>89735</v>
      </c>
      <c r="I4" s="46">
        <v>103</v>
      </c>
      <c r="J4" s="7" t="str">
        <f>VLOOKUP(I4,テーブル!$A$3:$C$6,2,0)</f>
        <v>満点電気</v>
      </c>
      <c r="K4" s="18">
        <f>DSUM(販売データ表!$A$1:$F$25,K$2,$K$10:$K$11)</f>
        <v>818</v>
      </c>
      <c r="L4" s="18">
        <f>DSUM(販売データ表!$A$1:$F$25,L$2,$K$10:$K$11)</f>
        <v>1900160</v>
      </c>
      <c r="M4" s="18">
        <f t="shared" ref="M4:M6" si="0">ROUNDUP(IF(AND(K4&lt;850,L4&lt;1900000),L4*1.2%,L4*1.7%),-1)</f>
        <v>32310</v>
      </c>
      <c r="N4" s="22">
        <f>L4+M4</f>
        <v>1932470</v>
      </c>
      <c r="O4" s="18">
        <f t="shared" ref="O4:O6" si="1">ROUND(200000*N4/$N$8,-1)</f>
        <v>50210</v>
      </c>
      <c r="P4" s="40">
        <f>ROUNDDOWN(L4/VLOOKUP(I4,テーブル!$A$3:$C$6,3,0),3)</f>
        <v>0.97399999999999998</v>
      </c>
    </row>
    <row r="5" spans="1:16">
      <c r="A5" s="9">
        <v>21</v>
      </c>
      <c r="B5" s="7" t="str">
        <f>"商品"&amp;VLOOKUP(A5,テーブル!$E$3:$H$10,2,0)</f>
        <v>商品Ｃ</v>
      </c>
      <c r="C5" s="1">
        <f>SUMIF(仕入データ表!$A$2:$A$25,A5,仕入データ表!$B$2:$B$25)</f>
        <v>489</v>
      </c>
      <c r="D5" s="1">
        <f>SUMIF(販売データ表!$C$2:$C$25,A5,販売データ表!$D$2:$D$25)</f>
        <v>462</v>
      </c>
      <c r="E5" s="1">
        <f>VLOOKUP(A5,テーブル!$E$3:$H$10,4,0)+C5-D5</f>
        <v>68</v>
      </c>
      <c r="F5" s="1">
        <f>SUMIF(販売データ表!$C$2:$C$25,$A5,販売データ表!$F$2:$F$25)-SUMIF(仕入データ表!$A$2:$A$25,$A5,仕入データ表!$E$2:$E$25)</f>
        <v>66924</v>
      </c>
      <c r="G5" s="3">
        <f>ROUNDUP(VLOOKUP(A5,テーブル!$E$3:$H$10,3,0)*E5*0.69,0)</f>
        <v>84456</v>
      </c>
      <c r="I5" s="46">
        <v>102</v>
      </c>
      <c r="J5" s="7" t="str">
        <f>VLOOKUP(I5,テーブル!$A$3:$C$6,2,0)</f>
        <v>ＮＤＫＤ</v>
      </c>
      <c r="K5" s="18">
        <f>DSUM(販売データ表!$A$1:$F$25,K$2,$J$10:$J$11)</f>
        <v>850</v>
      </c>
      <c r="L5" s="18">
        <f>DSUM(販売データ表!$A$1:$F$25,L$2,$J$10:$J$11)</f>
        <v>1892440</v>
      </c>
      <c r="M5" s="18">
        <f t="shared" si="0"/>
        <v>32180</v>
      </c>
      <c r="N5" s="22">
        <f>L5+M5</f>
        <v>1924620</v>
      </c>
      <c r="O5" s="18">
        <f t="shared" si="1"/>
        <v>50000</v>
      </c>
      <c r="P5" s="40">
        <f>ROUNDDOWN(L5/VLOOKUP(I5,テーブル!$A$3:$C$6,3,0),3)</f>
        <v>1.0009999999999999</v>
      </c>
    </row>
    <row r="6" spans="1:16">
      <c r="A6" s="9">
        <v>22</v>
      </c>
      <c r="B6" s="7" t="str">
        <f>"商品"&amp;VLOOKUP(A6,テーブル!$E$3:$H$10,2,0)</f>
        <v>商品Ｄ</v>
      </c>
      <c r="C6" s="1">
        <f>SUMIF(仕入データ表!$A$2:$A$25,A6,仕入データ表!$B$2:$B$25)</f>
        <v>407</v>
      </c>
      <c r="D6" s="1">
        <f>SUMIF(販売データ表!$C$2:$C$25,A6,販売データ表!$D$2:$D$25)</f>
        <v>383</v>
      </c>
      <c r="E6" s="1">
        <f>VLOOKUP(A6,テーブル!$E$3:$H$10,4,0)+C6-D6</f>
        <v>68</v>
      </c>
      <c r="F6" s="1">
        <f>SUMIF(販売データ表!$C$2:$C$25,$A6,販売データ表!$F$2:$F$25)-SUMIF(仕入データ表!$A$2:$A$25,$A6,仕入データ表!$E$2:$E$25)</f>
        <v>93807</v>
      </c>
      <c r="G6" s="3">
        <f>ROUNDUP(VLOOKUP(A6,テーブル!$E$3:$H$10,3,0)*E6*0.69,0)</f>
        <v>143106</v>
      </c>
      <c r="I6" s="46">
        <v>201</v>
      </c>
      <c r="J6" s="7" t="str">
        <f>VLOOKUP(I6,テーブル!$A$3:$C$6,2,0)</f>
        <v>ながの堂</v>
      </c>
      <c r="K6" s="18">
        <f>DSUM(販売データ表!$A$1:$F$25,K$2,$L$10:$L$11)</f>
        <v>834</v>
      </c>
      <c r="L6" s="18">
        <f>DSUM(販売データ表!$A$1:$F$25,L$2,$L$10:$L$11)</f>
        <v>1876730</v>
      </c>
      <c r="M6" s="18">
        <f t="shared" si="0"/>
        <v>22530</v>
      </c>
      <c r="N6" s="22">
        <f>L6+M6</f>
        <v>1899260</v>
      </c>
      <c r="O6" s="18">
        <f t="shared" si="1"/>
        <v>49340</v>
      </c>
      <c r="P6" s="40">
        <f>ROUNDDOWN(L6/VLOOKUP(I6,テーブル!$A$3:$C$6,3,0),3)</f>
        <v>1.0029999999999999</v>
      </c>
    </row>
    <row r="7" spans="1:16">
      <c r="A7" s="9">
        <v>31</v>
      </c>
      <c r="B7" s="7" t="str">
        <f>"商品"&amp;VLOOKUP(A7,テーブル!$E$3:$H$10,2,0)</f>
        <v>商品Ｅ</v>
      </c>
      <c r="C7" s="1">
        <f>SUMIF(仕入データ表!$A$2:$A$25,A7,仕入データ表!$B$2:$B$25)</f>
        <v>432</v>
      </c>
      <c r="D7" s="1">
        <f>SUMIF(販売データ表!$C$2:$C$25,A7,販売データ表!$D$2:$D$25)</f>
        <v>440</v>
      </c>
      <c r="E7" s="1">
        <f>VLOOKUP(A7,テーブル!$E$3:$H$10,4,0)+C7-D7</f>
        <v>50</v>
      </c>
      <c r="F7" s="1">
        <f>SUMIF(販売データ表!$C$2:$C$25,$A7,販売データ表!$F$2:$F$25)-SUMIF(仕入データ表!$A$2:$A$25,$A7,仕入データ表!$E$2:$E$25)</f>
        <v>172352</v>
      </c>
      <c r="G7" s="3">
        <f>ROUNDUP(VLOOKUP(A7,テーブル!$E$3:$H$10,3,0)*E7*0.69,0)</f>
        <v>93150</v>
      </c>
      <c r="I7" s="9"/>
      <c r="J7" s="17"/>
      <c r="K7" s="18"/>
      <c r="L7" s="17"/>
      <c r="M7" s="17"/>
      <c r="N7" s="17"/>
      <c r="O7" s="18"/>
      <c r="P7" s="41"/>
    </row>
    <row r="8" spans="1:16" ht="14.25" thickBot="1">
      <c r="A8" s="9">
        <v>32</v>
      </c>
      <c r="B8" s="7" t="str">
        <f>"商品"&amp;VLOOKUP(A8,テーブル!$E$3:$H$10,2,0)</f>
        <v>商品Ｆ</v>
      </c>
      <c r="C8" s="1">
        <f>SUMIF(仕入データ表!$A$2:$A$25,A8,仕入データ表!$B$2:$B$25)</f>
        <v>407</v>
      </c>
      <c r="D8" s="1">
        <f>SUMIF(販売データ表!$C$2:$C$25,A8,販売データ表!$D$2:$D$25)</f>
        <v>426</v>
      </c>
      <c r="E8" s="1">
        <f>VLOOKUP(A8,テーブル!$E$3:$H$10,4,0)+C8-D8</f>
        <v>48</v>
      </c>
      <c r="F8" s="1">
        <f>SUMIF(販売データ表!$C$2:$C$25,$A8,販売データ表!$F$2:$F$25)-SUMIF(仕入データ表!$A$2:$A$25,$A8,仕入データ表!$E$2:$E$25)</f>
        <v>146716</v>
      </c>
      <c r="G8" s="3">
        <f>ROUNDUP(VLOOKUP(A8,テーブル!$E$3:$H$10,3,0)*E8*0.69,0)</f>
        <v>70215</v>
      </c>
      <c r="I8" s="11"/>
      <c r="J8" s="43" t="s">
        <v>4</v>
      </c>
      <c r="K8" s="23">
        <f>SUM(K3:K6)</f>
        <v>3403</v>
      </c>
      <c r="L8" s="23">
        <f t="shared" ref="L8" si="2">SUM(L3:L6)</f>
        <v>7578560</v>
      </c>
      <c r="M8" s="23">
        <f>SUM(M3:M6)</f>
        <v>119480</v>
      </c>
      <c r="N8" s="23">
        <f>SUM(N3:N6)</f>
        <v>7698040</v>
      </c>
      <c r="O8" s="44">
        <f>SUM(O3:O6)</f>
        <v>200000</v>
      </c>
      <c r="P8" s="42"/>
    </row>
    <row r="9" spans="1:16" ht="14.25" thickBot="1">
      <c r="A9" s="9">
        <v>41</v>
      </c>
      <c r="B9" s="7" t="str">
        <f>"商品"&amp;VLOOKUP(A9,テーブル!$E$3:$H$10,2,0)</f>
        <v>商品Ｇ</v>
      </c>
      <c r="C9" s="1">
        <f>SUMIF(仕入データ表!$A$2:$A$25,A9,仕入データ表!$B$2:$B$25)</f>
        <v>448</v>
      </c>
      <c r="D9" s="1">
        <f>SUMIF(販売データ表!$C$2:$C$25,A9,販売データ表!$D$2:$D$25)</f>
        <v>442</v>
      </c>
      <c r="E9" s="1">
        <f>VLOOKUP(A9,テーブル!$E$3:$H$10,4,0)+C9-D9</f>
        <v>54</v>
      </c>
      <c r="F9" s="1">
        <f>SUMIF(販売データ表!$C$2:$C$25,$A9,販売データ表!$F$2:$F$25)-SUMIF(仕入データ表!$A$2:$A$25,$A9,仕入データ表!$E$2:$E$25)</f>
        <v>99393</v>
      </c>
      <c r="G9" s="3">
        <f>ROUNDUP(VLOOKUP(A9,テーブル!$E$3:$H$10,3,0)*E9*0.69,0)</f>
        <v>74893</v>
      </c>
    </row>
    <row r="10" spans="1:16">
      <c r="A10" s="9">
        <v>42</v>
      </c>
      <c r="B10" s="7" t="str">
        <f>"商品"&amp;VLOOKUP(A10,テーブル!$E$3:$H$10,2,0)</f>
        <v>商品Ｈ</v>
      </c>
      <c r="C10" s="1">
        <f>SUMIF(仕入データ表!$A$2:$A$25,A10,仕入データ表!$B$2:$B$25)</f>
        <v>401</v>
      </c>
      <c r="D10" s="1">
        <f>SUMIF(販売データ表!$C$2:$C$25,A10,販売データ表!$D$2:$D$25)</f>
        <v>397</v>
      </c>
      <c r="E10" s="1">
        <f>VLOOKUP(A10,テーブル!$E$3:$H$10,4,0)+C10-D10</f>
        <v>60</v>
      </c>
      <c r="F10" s="1">
        <f>SUMIF(販売データ表!$C$2:$C$25,$A10,販売データ表!$F$2:$F$25)-SUMIF(仕入データ表!$A$2:$A$25,$A10,仕入データ表!$E$2:$E$25)</f>
        <v>193500</v>
      </c>
      <c r="G10" s="3">
        <f>ROUNDUP(VLOOKUP(A10,テーブル!$E$3:$H$10,3,0)*E10*0.69,0)</f>
        <v>123786</v>
      </c>
      <c r="I10" s="39" t="s">
        <v>17</v>
      </c>
      <c r="J10" s="39" t="s">
        <v>17</v>
      </c>
      <c r="K10" s="39" t="s">
        <v>17</v>
      </c>
      <c r="L10" s="39" t="s">
        <v>17</v>
      </c>
    </row>
    <row r="11" spans="1:16" ht="14.25" thickBot="1">
      <c r="A11" s="38"/>
      <c r="B11" s="14"/>
      <c r="C11" s="27"/>
      <c r="D11" s="27"/>
      <c r="E11" s="27"/>
      <c r="F11" s="27"/>
      <c r="G11" s="26"/>
      <c r="I11" s="47">
        <v>101</v>
      </c>
      <c r="J11" s="47">
        <v>102</v>
      </c>
      <c r="K11" s="47">
        <v>103</v>
      </c>
      <c r="L11" s="47">
        <v>201</v>
      </c>
    </row>
    <row r="12" spans="1:16" ht="14.25" thickBot="1">
      <c r="A12" s="11"/>
      <c r="B12" s="12" t="s">
        <v>4</v>
      </c>
      <c r="C12" s="10">
        <f>SUM(C3:C10)</f>
        <v>3421</v>
      </c>
      <c r="D12" s="10">
        <f>SUM(D3:D10)</f>
        <v>3403</v>
      </c>
      <c r="E12" s="10">
        <f>SUM(E3:E10)</f>
        <v>463</v>
      </c>
      <c r="F12" s="10">
        <f>SUM(F3:F10)</f>
        <v>1052846</v>
      </c>
      <c r="G12" s="13">
        <f>SUM(G3:G10)</f>
        <v>780909</v>
      </c>
    </row>
    <row r="14" spans="1:16">
      <c r="A14" s="28"/>
      <c r="B14" s="28"/>
      <c r="C14" s="28"/>
      <c r="D14" s="28"/>
      <c r="E14" s="28"/>
      <c r="F14" s="28"/>
      <c r="G14" s="28"/>
    </row>
    <row r="16" spans="1:16">
      <c r="A16" s="28"/>
    </row>
  </sheetData>
  <sortState xmlns:xlrd2="http://schemas.microsoft.com/office/spreadsheetml/2017/richdata2" ref="I3:P6">
    <sortCondition descending="1" ref="N3:N6"/>
  </sortState>
  <mergeCells count="2">
    <mergeCell ref="A1:G1"/>
    <mergeCell ref="I1:P1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テーブル</vt:lpstr>
      <vt:lpstr>仕入データ表</vt:lpstr>
      <vt:lpstr>販売データ表</vt:lpstr>
      <vt:lpstr>計算表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日本情報処理検定協会(M.N)</cp:lastModifiedBy>
  <cp:lastPrinted>2020-12-24T01:36:41Z</cp:lastPrinted>
  <dcterms:created xsi:type="dcterms:W3CDTF">2012-09-27T07:48:12Z</dcterms:created>
  <dcterms:modified xsi:type="dcterms:W3CDTF">2022-12-22T04:57:22Z</dcterms:modified>
</cp:coreProperties>
</file>