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問題制作フォルダー\02_問題集\1表計算\2023(令和05)年度\3_SP初段\"/>
    </mc:Choice>
  </mc:AlternateContent>
  <xr:revisionPtr revIDLastSave="0" documentId="13_ncr:1_{06BC2AFA-06DB-4CC6-9B71-3751B7CE1D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9" r:id="rId1"/>
    <sheet name="仕入データ表" sheetId="10" r:id="rId2"/>
    <sheet name="定価計算表" sheetId="11" r:id="rId3"/>
    <sheet name="売上データ表" sheetId="6" r:id="rId4"/>
    <sheet name="請求額計算表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1" l="1"/>
  <c r="B2" i="10"/>
  <c r="D2" i="6"/>
  <c r="B2" i="6"/>
  <c r="C3" i="11"/>
  <c r="G20" i="10"/>
  <c r="G9" i="10"/>
  <c r="G19" i="10"/>
  <c r="G8" i="10"/>
  <c r="G16" i="10"/>
  <c r="G3" i="10"/>
  <c r="G24" i="10"/>
  <c r="G15" i="10"/>
  <c r="G21" i="10"/>
  <c r="G2" i="10"/>
  <c r="G4" i="10"/>
  <c r="G11" i="10"/>
  <c r="G10" i="10"/>
  <c r="G5" i="10"/>
  <c r="G22" i="10"/>
  <c r="G23" i="10"/>
  <c r="G12" i="10"/>
  <c r="G17" i="10"/>
  <c r="G14" i="10"/>
  <c r="G18" i="10"/>
  <c r="G6" i="10"/>
  <c r="G13" i="10"/>
  <c r="G25" i="10"/>
  <c r="G7" i="10"/>
  <c r="E27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G27" i="10"/>
  <c r="E3" i="11"/>
  <c r="E4" i="11"/>
  <c r="E5" i="11"/>
  <c r="E6" i="11"/>
  <c r="E7" i="11"/>
  <c r="E8" i="11"/>
  <c r="C8" i="11"/>
  <c r="C7" i="11"/>
  <c r="C6" i="11"/>
  <c r="C4" i="11"/>
  <c r="B4" i="11"/>
  <c r="B5" i="11"/>
  <c r="B6" i="11"/>
  <c r="B7" i="11"/>
  <c r="B8" i="11"/>
  <c r="B3" i="11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C27" i="10"/>
  <c r="E2" i="10"/>
  <c r="H4" i="7" l="1"/>
  <c r="H3" i="7"/>
  <c r="F2" i="10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9" i="10"/>
  <c r="F19" i="10" s="1"/>
  <c r="E18" i="10"/>
  <c r="F18" i="10" s="1"/>
  <c r="E17" i="10"/>
  <c r="F17" i="10" s="1"/>
  <c r="E16" i="10"/>
  <c r="F16" i="10" s="1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D8" i="11" s="1"/>
  <c r="E6" i="10"/>
  <c r="F6" i="10" s="1"/>
  <c r="D7" i="11" s="1"/>
  <c r="E5" i="10"/>
  <c r="F5" i="10" s="1"/>
  <c r="D6" i="11" s="1"/>
  <c r="E4" i="10"/>
  <c r="F4" i="10" s="1"/>
  <c r="D5" i="11" s="1"/>
  <c r="E3" i="10"/>
  <c r="F3" i="10" s="1"/>
  <c r="D4" i="11" s="1"/>
  <c r="E10" i="11"/>
  <c r="D3" i="11" l="1"/>
  <c r="F4" i="11"/>
  <c r="G4" i="11" s="1"/>
  <c r="F5" i="11"/>
  <c r="F6" i="11"/>
  <c r="G6" i="11" s="1"/>
  <c r="F7" i="11"/>
  <c r="G7" i="11" s="1"/>
  <c r="F8" i="11"/>
  <c r="G8" i="11" s="1"/>
  <c r="D10" i="11"/>
  <c r="B4" i="7"/>
  <c r="B5" i="7"/>
  <c r="B6" i="7"/>
  <c r="B7" i="7"/>
  <c r="B8" i="7"/>
  <c r="B9" i="7"/>
  <c r="B10" i="7"/>
  <c r="B3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G3" i="11" l="1"/>
  <c r="F2" i="6" s="1"/>
  <c r="F7" i="6"/>
  <c r="F13" i="6"/>
  <c r="F25" i="6"/>
  <c r="F16" i="6"/>
  <c r="F4" i="6"/>
  <c r="F19" i="6"/>
  <c r="F10" i="6"/>
  <c r="F22" i="6"/>
  <c r="F15" i="6"/>
  <c r="F18" i="6"/>
  <c r="F9" i="6"/>
  <c r="F24" i="6"/>
  <c r="F23" i="6"/>
  <c r="F17" i="6"/>
  <c r="F11" i="6"/>
  <c r="F5" i="6"/>
  <c r="F8" i="6"/>
  <c r="F14" i="6"/>
  <c r="F20" i="6"/>
  <c r="D27" i="10"/>
  <c r="C5" i="11"/>
  <c r="G5" i="11" l="1"/>
  <c r="C10" i="11"/>
  <c r="E27" i="10"/>
  <c r="F12" i="6" l="1"/>
  <c r="F21" i="6"/>
  <c r="F3" i="6"/>
  <c r="F6" i="6"/>
  <c r="F27" i="10"/>
  <c r="C4" i="7" l="1"/>
  <c r="D4" i="7" s="1"/>
  <c r="C5" i="7"/>
  <c r="D5" i="7" s="1"/>
  <c r="C6" i="7"/>
  <c r="C7" i="7"/>
  <c r="C8" i="7"/>
  <c r="D8" i="7" s="1"/>
  <c r="E8" i="7" s="1"/>
  <c r="C9" i="7"/>
  <c r="D9" i="7" s="1"/>
  <c r="C10" i="7"/>
  <c r="D10" i="7" s="1"/>
  <c r="C3" i="7"/>
  <c r="D7" i="7"/>
  <c r="E7" i="7" s="1"/>
  <c r="C12" i="7" l="1"/>
  <c r="E9" i="7"/>
  <c r="E4" i="7"/>
  <c r="E10" i="7"/>
  <c r="D6" i="7"/>
  <c r="E6" i="7" s="1"/>
  <c r="E5" i="7"/>
  <c r="D3" i="7"/>
  <c r="D12" i="7" l="1"/>
  <c r="E3" i="7"/>
  <c r="E12" i="7" s="1"/>
</calcChain>
</file>

<file path=xl/sharedStrings.xml><?xml version="1.0" encoding="utf-8"?>
<sst xmlns="http://schemas.openxmlformats.org/spreadsheetml/2006/main" count="119" uniqueCount="69">
  <si>
    <t>商ＣＯ</t>
  </si>
  <si>
    <t>商品名</t>
  </si>
  <si>
    <t>仕入数</t>
  </si>
  <si>
    <t>値引額</t>
  </si>
  <si>
    <t>支払額</t>
  </si>
  <si>
    <t>増量数</t>
  </si>
  <si>
    <t>＜商品テーブル＞</t>
  </si>
  <si>
    <t>原価</t>
  </si>
  <si>
    <t>値引率</t>
  </si>
  <si>
    <t>合　計</t>
  </si>
  <si>
    <t>商品別定価計算表</t>
  </si>
  <si>
    <t>定価</t>
  </si>
  <si>
    <t>商ＣＯの下１桁</t>
  </si>
  <si>
    <t>得ＣＯ</t>
  </si>
  <si>
    <t>得意先名</t>
  </si>
  <si>
    <t>売上数</t>
  </si>
  <si>
    <t>売価</t>
  </si>
  <si>
    <t>売上額</t>
  </si>
  <si>
    <t>＜得意先テーブル＞</t>
  </si>
  <si>
    <t>得意先別請求額計算表</t>
  </si>
  <si>
    <t>割引額</t>
  </si>
  <si>
    <t>請求額</t>
  </si>
  <si>
    <t>区分</t>
  </si>
  <si>
    <t>割引率</t>
  </si>
  <si>
    <t>＜値引率表＞</t>
    <phoneticPr fontId="1"/>
  </si>
  <si>
    <t>＜割引率テーブル＞</t>
    <phoneticPr fontId="1"/>
  </si>
  <si>
    <t>紳士服Ｓ</t>
    <rPh sb="0" eb="3">
      <t>シンシフク</t>
    </rPh>
    <phoneticPr fontId="1"/>
  </si>
  <si>
    <t>紳士服Ｍ</t>
    <rPh sb="0" eb="3">
      <t>シンシフク</t>
    </rPh>
    <phoneticPr fontId="1"/>
  </si>
  <si>
    <t>紳士服Ｌ</t>
    <rPh sb="0" eb="3">
      <t>シンシフク</t>
    </rPh>
    <phoneticPr fontId="1"/>
  </si>
  <si>
    <t>婦人服Ｓ</t>
    <rPh sb="0" eb="3">
      <t>フジンフク</t>
    </rPh>
    <phoneticPr fontId="1"/>
  </si>
  <si>
    <t>婦人服Ｍ</t>
    <rPh sb="0" eb="3">
      <t>フジンフク</t>
    </rPh>
    <phoneticPr fontId="1"/>
  </si>
  <si>
    <t>婦人服Ｌ</t>
    <rPh sb="0" eb="3">
      <t>フジンフク</t>
    </rPh>
    <phoneticPr fontId="1"/>
  </si>
  <si>
    <t>仕入額</t>
    <rPh sb="0" eb="3">
      <t>シイレガク</t>
    </rPh>
    <phoneticPr fontId="1"/>
  </si>
  <si>
    <t>商品分類</t>
    <rPh sb="0" eb="2">
      <t>ショウヒン</t>
    </rPh>
    <rPh sb="2" eb="4">
      <t>ブンルイ</t>
    </rPh>
    <phoneticPr fontId="1"/>
  </si>
  <si>
    <t>紳士服</t>
    <rPh sb="0" eb="3">
      <t>シンシフク</t>
    </rPh>
    <phoneticPr fontId="1"/>
  </si>
  <si>
    <t>婦人服</t>
    <rPh sb="0" eb="3">
      <t>フジンフク</t>
    </rPh>
    <phoneticPr fontId="1"/>
  </si>
  <si>
    <t>紳士服*</t>
    <phoneticPr fontId="1"/>
  </si>
  <si>
    <t>婦人服*</t>
    <rPh sb="0" eb="3">
      <t>フジンフク</t>
    </rPh>
    <phoneticPr fontId="1"/>
  </si>
  <si>
    <t>売上数</t>
    <rPh sb="0" eb="2">
      <t>ウリアゲ</t>
    </rPh>
    <rPh sb="2" eb="3">
      <t>スウ</t>
    </rPh>
    <phoneticPr fontId="1"/>
  </si>
  <si>
    <t>秋山衣料</t>
    <rPh sb="0" eb="2">
      <t>アキヤマ</t>
    </rPh>
    <rPh sb="2" eb="4">
      <t>イリョウ</t>
    </rPh>
    <phoneticPr fontId="1"/>
  </si>
  <si>
    <t>佐藤総業</t>
    <rPh sb="0" eb="2">
      <t>サトウ</t>
    </rPh>
    <rPh sb="2" eb="4">
      <t>ソウギョウ</t>
    </rPh>
    <phoneticPr fontId="1"/>
  </si>
  <si>
    <t>オカクラ</t>
    <phoneticPr fontId="1"/>
  </si>
  <si>
    <t>川村商店</t>
    <rPh sb="0" eb="2">
      <t>カワムラ</t>
    </rPh>
    <rPh sb="2" eb="4">
      <t>ショウテン</t>
    </rPh>
    <phoneticPr fontId="1"/>
  </si>
  <si>
    <t>ＡＳＫＡ</t>
    <phoneticPr fontId="1"/>
  </si>
  <si>
    <t>星洋装店</t>
    <rPh sb="0" eb="1">
      <t>ホシ</t>
    </rPh>
    <rPh sb="1" eb="4">
      <t>ヨウソウテン</t>
    </rPh>
    <phoneticPr fontId="1"/>
  </si>
  <si>
    <t>みどり屋</t>
    <rPh sb="3" eb="4">
      <t>ヤ</t>
    </rPh>
    <phoneticPr fontId="1"/>
  </si>
  <si>
    <t>洋服専科</t>
    <rPh sb="0" eb="2">
      <t>ヨウフク</t>
    </rPh>
    <rPh sb="2" eb="4">
      <t>センカ</t>
    </rPh>
    <phoneticPr fontId="1"/>
  </si>
  <si>
    <t>E</t>
    <phoneticPr fontId="1"/>
  </si>
  <si>
    <t>F</t>
    <phoneticPr fontId="1"/>
  </si>
  <si>
    <t>G</t>
    <phoneticPr fontId="1"/>
  </si>
  <si>
    <t>11F</t>
  </si>
  <si>
    <t>11F</t>
    <phoneticPr fontId="1"/>
  </si>
  <si>
    <t>12G</t>
  </si>
  <si>
    <t>12G</t>
    <phoneticPr fontId="1"/>
  </si>
  <si>
    <t>13E</t>
  </si>
  <si>
    <t>13E</t>
    <phoneticPr fontId="1"/>
  </si>
  <si>
    <t>14G</t>
  </si>
  <si>
    <t>14G</t>
    <phoneticPr fontId="1"/>
  </si>
  <si>
    <t>15E</t>
  </si>
  <si>
    <t>15E</t>
    <phoneticPr fontId="1"/>
  </si>
  <si>
    <t>16F</t>
  </si>
  <si>
    <t>16F</t>
    <phoneticPr fontId="1"/>
  </si>
  <si>
    <t>17G</t>
  </si>
  <si>
    <t>17G</t>
    <phoneticPr fontId="1"/>
  </si>
  <si>
    <t>18E</t>
  </si>
  <si>
    <t>18E</t>
    <phoneticPr fontId="1"/>
  </si>
  <si>
    <t>売上数集計表</t>
    <phoneticPr fontId="1"/>
  </si>
  <si>
    <t>＜利益率表＞</t>
    <rPh sb="1" eb="3">
      <t>リエキ</t>
    </rPh>
    <phoneticPr fontId="1"/>
  </si>
  <si>
    <t>利益率</t>
    <rPh sb="0" eb="2">
      <t>リエキ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</si>
</sst>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" fontId="0" fillId="0" borderId="11" xfId="0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4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>
      <alignment vertical="center"/>
    </xf>
    <xf numFmtId="38" fontId="4" fillId="0" borderId="8" xfId="1" applyFont="1" applyFill="1" applyBorder="1">
      <alignment vertical="center"/>
    </xf>
    <xf numFmtId="0" fontId="3" fillId="0" borderId="0" xfId="0" applyFont="1">
      <alignment vertical="center"/>
    </xf>
    <xf numFmtId="3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得意先別の集計グラフ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請求額計算表!$E$2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請求額計算表!$B$3:$B$10</c:f>
              <c:strCache>
                <c:ptCount val="8"/>
                <c:pt idx="0">
                  <c:v>秋山衣料</c:v>
                </c:pt>
                <c:pt idx="1">
                  <c:v>佐藤総業</c:v>
                </c:pt>
                <c:pt idx="2">
                  <c:v>オカクラ</c:v>
                </c:pt>
                <c:pt idx="3">
                  <c:v>川村商店</c:v>
                </c:pt>
                <c:pt idx="4">
                  <c:v>ＡＳＫＡ</c:v>
                </c:pt>
                <c:pt idx="5">
                  <c:v>星洋装店</c:v>
                </c:pt>
                <c:pt idx="6">
                  <c:v>みどり屋</c:v>
                </c:pt>
                <c:pt idx="7">
                  <c:v>洋服専科</c:v>
                </c:pt>
              </c:strCache>
            </c:strRef>
          </c:cat>
          <c:val>
            <c:numRef>
              <c:f>請求額計算表!$E$3:$E$10</c:f>
              <c:numCache>
                <c:formatCode>#,##0_);[Red]\(#,##0\)</c:formatCode>
                <c:ptCount val="8"/>
                <c:pt idx="0">
                  <c:v>518600</c:v>
                </c:pt>
                <c:pt idx="1">
                  <c:v>634935</c:v>
                </c:pt>
                <c:pt idx="2">
                  <c:v>723059</c:v>
                </c:pt>
                <c:pt idx="3">
                  <c:v>534423</c:v>
                </c:pt>
                <c:pt idx="4">
                  <c:v>641437</c:v>
                </c:pt>
                <c:pt idx="5">
                  <c:v>648227</c:v>
                </c:pt>
                <c:pt idx="6">
                  <c:v>602488</c:v>
                </c:pt>
                <c:pt idx="7">
                  <c:v>699536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9-44A5-B637-C9BEA207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73152"/>
        <c:axId val="96671616"/>
      </c:barChart>
      <c:lineChart>
        <c:grouping val="standard"/>
        <c:varyColors val="0"/>
        <c:ser>
          <c:idx val="0"/>
          <c:order val="0"/>
          <c:tx>
            <c:strRef>
              <c:f>請求額計算表!$D$2</c:f>
              <c:strCache>
                <c:ptCount val="1"/>
                <c:pt idx="0">
                  <c:v>割引額</c:v>
                </c:pt>
              </c:strCache>
            </c:strRef>
          </c:tx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>
                    <a:alpha val="94000"/>
                  </a:sysClr>
                </a:solidFill>
              </a:ln>
              <a:effectLst/>
            </c:spPr>
          </c:marker>
          <c:cat>
            <c:strRef>
              <c:f>請求額計算表!$B$3:$B$10</c:f>
              <c:strCache>
                <c:ptCount val="8"/>
                <c:pt idx="0">
                  <c:v>秋山衣料</c:v>
                </c:pt>
                <c:pt idx="1">
                  <c:v>佐藤総業</c:v>
                </c:pt>
                <c:pt idx="2">
                  <c:v>オカクラ</c:v>
                </c:pt>
                <c:pt idx="3">
                  <c:v>川村商店</c:v>
                </c:pt>
                <c:pt idx="4">
                  <c:v>ＡＳＫＡ</c:v>
                </c:pt>
                <c:pt idx="5">
                  <c:v>星洋装店</c:v>
                </c:pt>
                <c:pt idx="6">
                  <c:v>みどり屋</c:v>
                </c:pt>
                <c:pt idx="7">
                  <c:v>洋服専科</c:v>
                </c:pt>
              </c:strCache>
            </c:strRef>
          </c:cat>
          <c:val>
            <c:numRef>
              <c:f>請求額計算表!$D$3:$D$10</c:f>
              <c:numCache>
                <c:formatCode>#,##0_);[Red]\(#,##0\)</c:formatCode>
                <c:ptCount val="8"/>
                <c:pt idx="0">
                  <c:v>23301</c:v>
                </c:pt>
                <c:pt idx="1">
                  <c:v>32714</c:v>
                </c:pt>
                <c:pt idx="2">
                  <c:v>27781</c:v>
                </c:pt>
                <c:pt idx="3">
                  <c:v>27535</c:v>
                </c:pt>
                <c:pt idx="4">
                  <c:v>24645</c:v>
                </c:pt>
                <c:pt idx="5">
                  <c:v>29126</c:v>
                </c:pt>
                <c:pt idx="6">
                  <c:v>31043</c:v>
                </c:pt>
                <c:pt idx="7">
                  <c:v>26877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BC-4B51-B8EB-09FA7B421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7904"/>
        <c:axId val="96670080"/>
      </c:lineChart>
      <c:catAx>
        <c:axId val="966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0080"/>
        <c:crosses val="autoZero"/>
        <c:auto val="1"/>
        <c:lblAlgn val="ctr"/>
        <c:lblOffset val="100"/>
        <c:noMultiLvlLbl val="0"/>
      </c:catAx>
      <c:valAx>
        <c:axId val="9667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67904"/>
        <c:crosses val="autoZero"/>
        <c:crossBetween val="between"/>
      </c:valAx>
      <c:valAx>
        <c:axId val="9667161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3152"/>
        <c:crosses val="max"/>
        <c:crossBetween val="between"/>
      </c:valAx>
      <c:catAx>
        <c:axId val="9667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671616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15</xdr:row>
      <xdr:rowOff>19050</xdr:rowOff>
    </xdr:from>
    <xdr:to>
      <xdr:col>21</xdr:col>
      <xdr:colOff>228600</xdr:colOff>
      <xdr:row>28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5D0938-44A3-4D94-B2CB-ABB382696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54A4F-2338-4E29-9526-202C477F55C5}">
  <dimension ref="A1:Q11"/>
  <sheetViews>
    <sheetView tabSelected="1" workbookViewId="0"/>
  </sheetViews>
  <sheetFormatPr defaultRowHeight="13.5"/>
  <cols>
    <col min="1" max="1" width="7.5" bestFit="1" customWidth="1"/>
    <col min="2" max="2" width="9.125" customWidth="1"/>
    <col min="3" max="3" width="6.5" bestFit="1" customWidth="1"/>
    <col min="4" max="4" width="3.75" customWidth="1"/>
    <col min="5" max="5" width="8.5" bestFit="1" customWidth="1"/>
    <col min="6" max="6" width="7.5" bestFit="1" customWidth="1"/>
    <col min="7" max="7" width="3.75" customWidth="1"/>
    <col min="8" max="8" width="10.5" bestFit="1" customWidth="1"/>
    <col min="9" max="9" width="7.625" customWidth="1"/>
    <col min="10" max="11" width="7.5" customWidth="1"/>
    <col min="12" max="12" width="3.75" customWidth="1"/>
    <col min="13" max="13" width="7.5" bestFit="1" customWidth="1"/>
    <col min="14" max="14" width="9.5" bestFit="1" customWidth="1"/>
    <col min="15" max="15" width="3.75" customWidth="1"/>
    <col min="16" max="16" width="7" customWidth="1"/>
    <col min="17" max="17" width="10.75" customWidth="1"/>
  </cols>
  <sheetData>
    <row r="1" spans="1:17">
      <c r="A1" t="s">
        <v>6</v>
      </c>
      <c r="E1" t="s">
        <v>24</v>
      </c>
      <c r="H1" t="s">
        <v>67</v>
      </c>
      <c r="M1" t="s">
        <v>18</v>
      </c>
      <c r="P1" t="s">
        <v>25</v>
      </c>
    </row>
    <row r="2" spans="1:17">
      <c r="A2" s="1" t="s">
        <v>0</v>
      </c>
      <c r="B2" s="1" t="s">
        <v>1</v>
      </c>
      <c r="C2" s="1" t="s">
        <v>7</v>
      </c>
      <c r="E2" s="1" t="s">
        <v>32</v>
      </c>
      <c r="F2" s="1" t="s">
        <v>8</v>
      </c>
      <c r="H2" s="36" t="s">
        <v>4</v>
      </c>
      <c r="I2" s="38" t="s">
        <v>12</v>
      </c>
      <c r="J2" s="38"/>
      <c r="K2" s="38"/>
      <c r="M2" s="1" t="s">
        <v>13</v>
      </c>
      <c r="N2" s="1" t="s">
        <v>14</v>
      </c>
      <c r="P2" s="1" t="s">
        <v>22</v>
      </c>
      <c r="Q2" s="1" t="s">
        <v>23</v>
      </c>
    </row>
    <row r="3" spans="1:17">
      <c r="A3" s="2">
        <v>101</v>
      </c>
      <c r="B3" s="2" t="s">
        <v>26</v>
      </c>
      <c r="C3" s="3">
        <v>1570</v>
      </c>
      <c r="E3" s="33">
        <v>1</v>
      </c>
      <c r="F3" s="34">
        <v>5.8000000000000003E-2</v>
      </c>
      <c r="H3" s="37"/>
      <c r="I3" s="2">
        <v>1</v>
      </c>
      <c r="J3" s="2">
        <v>2</v>
      </c>
      <c r="K3" s="2">
        <v>3</v>
      </c>
      <c r="M3" s="2" t="s">
        <v>51</v>
      </c>
      <c r="N3" s="30" t="s">
        <v>39</v>
      </c>
      <c r="P3" s="30" t="s">
        <v>47</v>
      </c>
      <c r="Q3" s="35">
        <v>3.6999999999999998E-2</v>
      </c>
    </row>
    <row r="4" spans="1:17">
      <c r="A4" s="2">
        <v>102</v>
      </c>
      <c r="B4" s="2" t="s">
        <v>27</v>
      </c>
      <c r="C4" s="3">
        <v>1640</v>
      </c>
      <c r="E4" s="33">
        <v>170000</v>
      </c>
      <c r="F4" s="34">
        <v>6.7000000000000004E-2</v>
      </c>
      <c r="H4" s="5">
        <v>1</v>
      </c>
      <c r="I4" s="4">
        <v>0.3</v>
      </c>
      <c r="J4" s="4">
        <v>0.28999999999999998</v>
      </c>
      <c r="K4" s="4">
        <v>0.28000000000000003</v>
      </c>
      <c r="M4" s="2" t="s">
        <v>53</v>
      </c>
      <c r="N4" s="30" t="s">
        <v>40</v>
      </c>
      <c r="P4" s="30" t="s">
        <v>48</v>
      </c>
      <c r="Q4" s="35">
        <v>4.2999999999999997E-2</v>
      </c>
    </row>
    <row r="5" spans="1:17">
      <c r="A5" s="2">
        <v>103</v>
      </c>
      <c r="B5" s="2" t="s">
        <v>28</v>
      </c>
      <c r="C5" s="3">
        <v>1710</v>
      </c>
      <c r="E5" s="33">
        <v>270000</v>
      </c>
      <c r="F5" s="34">
        <v>7.5999999999999998E-2</v>
      </c>
      <c r="H5" s="28">
        <v>800000</v>
      </c>
      <c r="I5" s="4">
        <v>0.27</v>
      </c>
      <c r="J5" s="4">
        <v>0.26</v>
      </c>
      <c r="K5" s="4">
        <v>0.25</v>
      </c>
      <c r="M5" s="2" t="s">
        <v>55</v>
      </c>
      <c r="N5" s="30" t="s">
        <v>41</v>
      </c>
      <c r="P5" s="30" t="s">
        <v>49</v>
      </c>
      <c r="Q5" s="35">
        <v>4.9000000000000002E-2</v>
      </c>
    </row>
    <row r="6" spans="1:17">
      <c r="A6" s="2">
        <v>201</v>
      </c>
      <c r="B6" s="2" t="s">
        <v>29</v>
      </c>
      <c r="C6" s="5">
        <v>2160</v>
      </c>
      <c r="M6" s="2" t="s">
        <v>57</v>
      </c>
      <c r="N6" s="30" t="s">
        <v>42</v>
      </c>
    </row>
    <row r="7" spans="1:17">
      <c r="A7" s="2">
        <v>202</v>
      </c>
      <c r="B7" s="2" t="s">
        <v>30</v>
      </c>
      <c r="C7" s="5">
        <v>2280</v>
      </c>
      <c r="M7" s="2" t="s">
        <v>59</v>
      </c>
      <c r="N7" s="30" t="s">
        <v>43</v>
      </c>
    </row>
    <row r="8" spans="1:17">
      <c r="A8" s="2">
        <v>203</v>
      </c>
      <c r="B8" s="2" t="s">
        <v>31</v>
      </c>
      <c r="C8" s="23">
        <v>2390</v>
      </c>
      <c r="M8" s="2" t="s">
        <v>61</v>
      </c>
      <c r="N8" s="30" t="s">
        <v>44</v>
      </c>
    </row>
    <row r="9" spans="1:17">
      <c r="C9" s="27"/>
      <c r="M9" s="2" t="s">
        <v>63</v>
      </c>
      <c r="N9" s="30" t="s">
        <v>45</v>
      </c>
    </row>
    <row r="10" spans="1:17">
      <c r="C10" s="27"/>
      <c r="M10" s="2" t="s">
        <v>65</v>
      </c>
      <c r="N10" s="30" t="s">
        <v>46</v>
      </c>
    </row>
    <row r="11" spans="1:17">
      <c r="C11" s="27"/>
    </row>
  </sheetData>
  <sortState xmlns:xlrd2="http://schemas.microsoft.com/office/spreadsheetml/2017/richdata2" ref="F10:F12">
    <sortCondition descending="1" ref="F10:F12"/>
  </sortState>
  <mergeCells count="2">
    <mergeCell ref="H2:H3"/>
    <mergeCell ref="I2:K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32E68-0032-4E4A-9C3E-E98C486DE57E}">
  <dimension ref="A1:M27"/>
  <sheetViews>
    <sheetView workbookViewId="0"/>
  </sheetViews>
  <sheetFormatPr defaultRowHeight="13.5"/>
  <cols>
    <col min="1" max="1" width="7.5" bestFit="1" customWidth="1"/>
    <col min="2" max="2" width="11" customWidth="1"/>
    <col min="3" max="3" width="7.5" bestFit="1" customWidth="1"/>
    <col min="4" max="4" width="11.625" bestFit="1" customWidth="1"/>
    <col min="5" max="5" width="8.5" bestFit="1" customWidth="1"/>
    <col min="6" max="6" width="10.5" bestFit="1" customWidth="1"/>
    <col min="7" max="7" width="7.5" bestFit="1" customWidth="1"/>
    <col min="10" max="10" width="10.125" customWidth="1"/>
  </cols>
  <sheetData>
    <row r="1" spans="1:13">
      <c r="A1" s="6" t="s">
        <v>0</v>
      </c>
      <c r="B1" s="7" t="s">
        <v>1</v>
      </c>
      <c r="C1" s="7" t="s">
        <v>2</v>
      </c>
      <c r="D1" s="7" t="s">
        <v>32</v>
      </c>
      <c r="E1" s="7" t="s">
        <v>3</v>
      </c>
      <c r="F1" s="7" t="s">
        <v>4</v>
      </c>
      <c r="G1" s="8" t="s">
        <v>5</v>
      </c>
    </row>
    <row r="2" spans="1:13">
      <c r="A2" s="9">
        <v>101</v>
      </c>
      <c r="B2" s="2" t="str">
        <f>VLOOKUP(A2,テーブル!$A$3:$C$8,2,0)</f>
        <v>紳士服Ｓ</v>
      </c>
      <c r="C2" s="3">
        <v>103</v>
      </c>
      <c r="D2" s="3">
        <f>VLOOKUP(A2,テーブル!$A$3:$C$8,3,0)*C2</f>
        <v>161710</v>
      </c>
      <c r="E2" s="3">
        <f>ROUND(D2*VLOOKUP(D2,テーブル!$E$3:$F$5,2,1),-1)</f>
        <v>9380</v>
      </c>
      <c r="F2" s="3">
        <f t="shared" ref="F2:F25" si="0">D2-E2</f>
        <v>152330</v>
      </c>
      <c r="G2" s="10">
        <f t="shared" ref="G2:G25" si="1">ROUNDUP(IF(C2&gt;=110,C2*5.3%,C2*4.2%),0)</f>
        <v>5</v>
      </c>
      <c r="I2" s="29"/>
      <c r="J2" s="29"/>
      <c r="K2" s="29"/>
      <c r="L2" s="29"/>
      <c r="M2" s="29"/>
    </row>
    <row r="3" spans="1:13">
      <c r="A3" s="9">
        <v>102</v>
      </c>
      <c r="B3" s="2" t="str">
        <f>VLOOKUP(A3,テーブル!$A$3:$C$8,2,0)</f>
        <v>紳士服Ｍ</v>
      </c>
      <c r="C3" s="3">
        <v>97</v>
      </c>
      <c r="D3" s="3">
        <f>VLOOKUP(A3,テーブル!$A$3:$C$8,3,0)*C3</f>
        <v>159080</v>
      </c>
      <c r="E3" s="3">
        <f>ROUND(D3*VLOOKUP(D3,テーブル!$E$3:$F$5,2,1),-1)</f>
        <v>9230</v>
      </c>
      <c r="F3" s="3">
        <f t="shared" si="0"/>
        <v>149850</v>
      </c>
      <c r="G3" s="10">
        <f t="shared" si="1"/>
        <v>5</v>
      </c>
    </row>
    <row r="4" spans="1:13">
      <c r="A4" s="9">
        <v>103</v>
      </c>
      <c r="B4" s="2" t="str">
        <f>VLOOKUP(A4,テーブル!$A$3:$C$8,2,0)</f>
        <v>紳士服Ｌ</v>
      </c>
      <c r="C4" s="3">
        <v>105</v>
      </c>
      <c r="D4" s="3">
        <f>VLOOKUP(A4,テーブル!$A$3:$C$8,3,0)*C4</f>
        <v>179550</v>
      </c>
      <c r="E4" s="3">
        <f>ROUND(D4*VLOOKUP(D4,テーブル!$E$3:$F$5,2,1),-1)</f>
        <v>12030</v>
      </c>
      <c r="F4" s="3">
        <f t="shared" si="0"/>
        <v>167520</v>
      </c>
      <c r="G4" s="10">
        <f t="shared" si="1"/>
        <v>5</v>
      </c>
    </row>
    <row r="5" spans="1:13">
      <c r="A5" s="9">
        <v>201</v>
      </c>
      <c r="B5" s="2" t="str">
        <f>VLOOKUP(A5,テーブル!$A$3:$C$8,2,0)</f>
        <v>婦人服Ｓ</v>
      </c>
      <c r="C5" s="3">
        <v>112</v>
      </c>
      <c r="D5" s="3">
        <f>VLOOKUP(A5,テーブル!$A$3:$C$8,3,0)*C5</f>
        <v>241920</v>
      </c>
      <c r="E5" s="3">
        <f>ROUND(D5*VLOOKUP(D5,テーブル!$E$3:$F$5,2,1),-1)</f>
        <v>16210</v>
      </c>
      <c r="F5" s="3">
        <f t="shared" si="0"/>
        <v>225710</v>
      </c>
      <c r="G5" s="10">
        <f t="shared" si="1"/>
        <v>6</v>
      </c>
    </row>
    <row r="6" spans="1:13">
      <c r="A6" s="9">
        <v>202</v>
      </c>
      <c r="B6" s="2" t="str">
        <f>VLOOKUP(A6,テーブル!$A$3:$C$8,2,0)</f>
        <v>婦人服Ｍ</v>
      </c>
      <c r="C6" s="3">
        <v>134</v>
      </c>
      <c r="D6" s="3">
        <f>VLOOKUP(A6,テーブル!$A$3:$C$8,3,0)*C6</f>
        <v>305520</v>
      </c>
      <c r="E6" s="3">
        <f>ROUND(D6*VLOOKUP(D6,テーブル!$E$3:$F$5,2,1),-1)</f>
        <v>23220</v>
      </c>
      <c r="F6" s="3">
        <f t="shared" si="0"/>
        <v>282300</v>
      </c>
      <c r="G6" s="10">
        <f t="shared" si="1"/>
        <v>8</v>
      </c>
    </row>
    <row r="7" spans="1:13">
      <c r="A7" s="9">
        <v>203</v>
      </c>
      <c r="B7" s="2" t="str">
        <f>VLOOKUP(A7,テーブル!$A$3:$C$8,2,0)</f>
        <v>婦人服Ｌ</v>
      </c>
      <c r="C7" s="3">
        <v>84</v>
      </c>
      <c r="D7" s="3">
        <f>VLOOKUP(A7,テーブル!$A$3:$C$8,3,0)*C7</f>
        <v>200760</v>
      </c>
      <c r="E7" s="3">
        <f>ROUND(D7*VLOOKUP(D7,テーブル!$E$3:$F$5,2,1),-1)</f>
        <v>13450</v>
      </c>
      <c r="F7" s="3">
        <f t="shared" si="0"/>
        <v>187310</v>
      </c>
      <c r="G7" s="10">
        <f t="shared" si="1"/>
        <v>4</v>
      </c>
    </row>
    <row r="8" spans="1:13">
      <c r="A8" s="9">
        <v>101</v>
      </c>
      <c r="B8" s="2" t="str">
        <f>VLOOKUP(A8,テーブル!$A$3:$C$8,2,0)</f>
        <v>紳士服Ｓ</v>
      </c>
      <c r="C8" s="3">
        <v>95</v>
      </c>
      <c r="D8" s="3">
        <f>VLOOKUP(A8,テーブル!$A$3:$C$8,3,0)*C8</f>
        <v>149150</v>
      </c>
      <c r="E8" s="3">
        <f>ROUND(D8*VLOOKUP(D8,テーブル!$E$3:$F$5,2,1),-1)</f>
        <v>8650</v>
      </c>
      <c r="F8" s="3">
        <f t="shared" si="0"/>
        <v>140500</v>
      </c>
      <c r="G8" s="10">
        <f t="shared" si="1"/>
        <v>4</v>
      </c>
    </row>
    <row r="9" spans="1:13">
      <c r="A9" s="9">
        <v>102</v>
      </c>
      <c r="B9" s="2" t="str">
        <f>VLOOKUP(A9,テーブル!$A$3:$C$8,2,0)</f>
        <v>紳士服Ｍ</v>
      </c>
      <c r="C9" s="3">
        <v>86</v>
      </c>
      <c r="D9" s="3">
        <f>VLOOKUP(A9,テーブル!$A$3:$C$8,3,0)*C9</f>
        <v>141040</v>
      </c>
      <c r="E9" s="3">
        <f>ROUND(D9*VLOOKUP(D9,テーブル!$E$3:$F$5,2,1),-1)</f>
        <v>8180</v>
      </c>
      <c r="F9" s="3">
        <f t="shared" si="0"/>
        <v>132860</v>
      </c>
      <c r="G9" s="10">
        <f t="shared" si="1"/>
        <v>4</v>
      </c>
    </row>
    <row r="10" spans="1:13">
      <c r="A10" s="9">
        <v>103</v>
      </c>
      <c r="B10" s="2" t="str">
        <f>VLOOKUP(A10,テーブル!$A$3:$C$8,2,0)</f>
        <v>紳士服Ｌ</v>
      </c>
      <c r="C10" s="3">
        <v>110</v>
      </c>
      <c r="D10" s="3">
        <f>VLOOKUP(A10,テーブル!$A$3:$C$8,3,0)*C10</f>
        <v>188100</v>
      </c>
      <c r="E10" s="3">
        <f>ROUND(D10*VLOOKUP(D10,テーブル!$E$3:$F$5,2,1),-1)</f>
        <v>12600</v>
      </c>
      <c r="F10" s="3">
        <f t="shared" si="0"/>
        <v>175500</v>
      </c>
      <c r="G10" s="10">
        <f t="shared" si="1"/>
        <v>6</v>
      </c>
    </row>
    <row r="11" spans="1:13">
      <c r="A11" s="9">
        <v>201</v>
      </c>
      <c r="B11" s="2" t="str">
        <f>VLOOKUP(A11,テーブル!$A$3:$C$8,2,0)</f>
        <v>婦人服Ｓ</v>
      </c>
      <c r="C11" s="3">
        <v>107</v>
      </c>
      <c r="D11" s="3">
        <f>VLOOKUP(A11,テーブル!$A$3:$C$8,3,0)*C11</f>
        <v>231120</v>
      </c>
      <c r="E11" s="3">
        <f>ROUND(D11*VLOOKUP(D11,テーブル!$E$3:$F$5,2,1),-1)</f>
        <v>15490</v>
      </c>
      <c r="F11" s="3">
        <f t="shared" si="0"/>
        <v>215630</v>
      </c>
      <c r="G11" s="10">
        <f t="shared" si="1"/>
        <v>5</v>
      </c>
    </row>
    <row r="12" spans="1:13">
      <c r="A12" s="9">
        <v>202</v>
      </c>
      <c r="B12" s="2" t="str">
        <f>VLOOKUP(A12,テーブル!$A$3:$C$8,2,0)</f>
        <v>婦人服Ｍ</v>
      </c>
      <c r="C12" s="3">
        <v>123</v>
      </c>
      <c r="D12" s="3">
        <f>VLOOKUP(A12,テーブル!$A$3:$C$8,3,0)*C12</f>
        <v>280440</v>
      </c>
      <c r="E12" s="3">
        <f>ROUND(D12*VLOOKUP(D12,テーブル!$E$3:$F$5,2,1),-1)</f>
        <v>21310</v>
      </c>
      <c r="F12" s="3">
        <f t="shared" si="0"/>
        <v>259130</v>
      </c>
      <c r="G12" s="10">
        <f t="shared" si="1"/>
        <v>7</v>
      </c>
    </row>
    <row r="13" spans="1:13">
      <c r="A13" s="9">
        <v>203</v>
      </c>
      <c r="B13" s="2" t="str">
        <f>VLOOKUP(A13,テーブル!$A$3:$C$8,2,0)</f>
        <v>婦人服Ｌ</v>
      </c>
      <c r="C13" s="3">
        <v>140</v>
      </c>
      <c r="D13" s="3">
        <f>VLOOKUP(A13,テーブル!$A$3:$C$8,3,0)*C13</f>
        <v>334600</v>
      </c>
      <c r="E13" s="3">
        <f>ROUND(D13*VLOOKUP(D13,テーブル!$E$3:$F$5,2,1),-1)</f>
        <v>25430</v>
      </c>
      <c r="F13" s="3">
        <f t="shared" si="0"/>
        <v>309170</v>
      </c>
      <c r="G13" s="10">
        <f t="shared" si="1"/>
        <v>8</v>
      </c>
    </row>
    <row r="14" spans="1:13">
      <c r="A14" s="9">
        <v>101</v>
      </c>
      <c r="B14" s="2" t="str">
        <f>VLOOKUP(A14,テーブル!$A$3:$C$8,2,0)</f>
        <v>紳士服Ｓ</v>
      </c>
      <c r="C14" s="3">
        <v>126</v>
      </c>
      <c r="D14" s="3">
        <f>VLOOKUP(A14,テーブル!$A$3:$C$8,3,0)*C14</f>
        <v>197820</v>
      </c>
      <c r="E14" s="3">
        <f>ROUND(D14*VLOOKUP(D14,テーブル!$E$3:$F$5,2,1),-1)</f>
        <v>13250</v>
      </c>
      <c r="F14" s="3">
        <f t="shared" si="0"/>
        <v>184570</v>
      </c>
      <c r="G14" s="10">
        <f t="shared" si="1"/>
        <v>7</v>
      </c>
    </row>
    <row r="15" spans="1:13">
      <c r="A15" s="9">
        <v>102</v>
      </c>
      <c r="B15" s="2" t="str">
        <f>VLOOKUP(A15,テーブル!$A$3:$C$8,2,0)</f>
        <v>紳士服Ｍ</v>
      </c>
      <c r="C15" s="3">
        <v>100</v>
      </c>
      <c r="D15" s="3">
        <f>VLOOKUP(A15,テーブル!$A$3:$C$8,3,0)*C15</f>
        <v>164000</v>
      </c>
      <c r="E15" s="3">
        <f>ROUND(D15*VLOOKUP(D15,テーブル!$E$3:$F$5,2,1),-1)</f>
        <v>9510</v>
      </c>
      <c r="F15" s="3">
        <f t="shared" si="0"/>
        <v>154490</v>
      </c>
      <c r="G15" s="10">
        <f t="shared" si="1"/>
        <v>5</v>
      </c>
    </row>
    <row r="16" spans="1:13">
      <c r="A16" s="9">
        <v>103</v>
      </c>
      <c r="B16" s="2" t="str">
        <f>VLOOKUP(A16,テーブル!$A$3:$C$8,2,0)</f>
        <v>紳士服Ｌ</v>
      </c>
      <c r="C16" s="3">
        <v>96</v>
      </c>
      <c r="D16" s="3">
        <f>VLOOKUP(A16,テーブル!$A$3:$C$8,3,0)*C16</f>
        <v>164160</v>
      </c>
      <c r="E16" s="3">
        <f>ROUND(D16*VLOOKUP(D16,テーブル!$E$3:$F$5,2,1),-1)</f>
        <v>9520</v>
      </c>
      <c r="F16" s="3">
        <f t="shared" si="0"/>
        <v>154640</v>
      </c>
      <c r="G16" s="10">
        <f t="shared" si="1"/>
        <v>5</v>
      </c>
    </row>
    <row r="17" spans="1:7">
      <c r="A17" s="9">
        <v>201</v>
      </c>
      <c r="B17" s="2" t="str">
        <f>VLOOKUP(A17,テーブル!$A$3:$C$8,2,0)</f>
        <v>婦人服Ｓ</v>
      </c>
      <c r="C17" s="3">
        <v>125</v>
      </c>
      <c r="D17" s="3">
        <f>VLOOKUP(A17,テーブル!$A$3:$C$8,3,0)*C17</f>
        <v>270000</v>
      </c>
      <c r="E17" s="3">
        <f>ROUND(D17*VLOOKUP(D17,テーブル!$E$3:$F$5,2,1),-1)</f>
        <v>20520</v>
      </c>
      <c r="F17" s="3">
        <f t="shared" si="0"/>
        <v>249480</v>
      </c>
      <c r="G17" s="10">
        <f t="shared" si="1"/>
        <v>7</v>
      </c>
    </row>
    <row r="18" spans="1:7">
      <c r="A18" s="9">
        <v>202</v>
      </c>
      <c r="B18" s="2" t="str">
        <f>VLOOKUP(A18,テーブル!$A$3:$C$8,2,0)</f>
        <v>婦人服Ｍ</v>
      </c>
      <c r="C18" s="3">
        <v>130</v>
      </c>
      <c r="D18" s="3">
        <f>VLOOKUP(A18,テーブル!$A$3:$C$8,3,0)*C18</f>
        <v>296400</v>
      </c>
      <c r="E18" s="3">
        <f>ROUND(D18*VLOOKUP(D18,テーブル!$E$3:$F$5,2,1),-1)</f>
        <v>22530</v>
      </c>
      <c r="F18" s="3">
        <f t="shared" si="0"/>
        <v>273870</v>
      </c>
      <c r="G18" s="10">
        <f t="shared" si="1"/>
        <v>7</v>
      </c>
    </row>
    <row r="19" spans="1:7">
      <c r="A19" s="9">
        <v>203</v>
      </c>
      <c r="B19" s="2" t="str">
        <f>VLOOKUP(A19,テーブル!$A$3:$C$8,2,0)</f>
        <v>婦人服Ｌ</v>
      </c>
      <c r="C19" s="3">
        <v>87</v>
      </c>
      <c r="D19" s="3">
        <f>VLOOKUP(A19,テーブル!$A$3:$C$8,3,0)*C19</f>
        <v>207930</v>
      </c>
      <c r="E19" s="3">
        <f>ROUND(D19*VLOOKUP(D19,テーブル!$E$3:$F$5,2,1),-1)</f>
        <v>13930</v>
      </c>
      <c r="F19" s="3">
        <f t="shared" si="0"/>
        <v>194000</v>
      </c>
      <c r="G19" s="10">
        <f t="shared" si="1"/>
        <v>4</v>
      </c>
    </row>
    <row r="20" spans="1:7">
      <c r="A20" s="9">
        <v>101</v>
      </c>
      <c r="B20" s="2" t="str">
        <f>VLOOKUP(A20,テーブル!$A$3:$C$8,2,0)</f>
        <v>紳士服Ｓ</v>
      </c>
      <c r="C20" s="3">
        <v>85</v>
      </c>
      <c r="D20" s="3">
        <f>VLOOKUP(A20,テーブル!$A$3:$C$8,3,0)*C20</f>
        <v>133450</v>
      </c>
      <c r="E20" s="3">
        <f>ROUND(D20*VLOOKUP(D20,テーブル!$E$3:$F$5,2,1),-1)</f>
        <v>7740</v>
      </c>
      <c r="F20" s="3">
        <f t="shared" si="0"/>
        <v>125710</v>
      </c>
      <c r="G20" s="10">
        <f t="shared" si="1"/>
        <v>4</v>
      </c>
    </row>
    <row r="21" spans="1:7">
      <c r="A21" s="9">
        <v>102</v>
      </c>
      <c r="B21" s="2" t="str">
        <f>VLOOKUP(A21,テーブル!$A$3:$C$8,2,0)</f>
        <v>紳士服Ｍ</v>
      </c>
      <c r="C21" s="3">
        <v>102</v>
      </c>
      <c r="D21" s="3">
        <f>VLOOKUP(A21,テーブル!$A$3:$C$8,3,0)*C21</f>
        <v>167280</v>
      </c>
      <c r="E21" s="3">
        <f>ROUND(D21*VLOOKUP(D21,テーブル!$E$3:$F$5,2,1),-1)</f>
        <v>9700</v>
      </c>
      <c r="F21" s="3">
        <f t="shared" si="0"/>
        <v>157580</v>
      </c>
      <c r="G21" s="10">
        <f t="shared" si="1"/>
        <v>5</v>
      </c>
    </row>
    <row r="22" spans="1:7">
      <c r="A22" s="9">
        <v>103</v>
      </c>
      <c r="B22" s="2" t="str">
        <f>VLOOKUP(A22,テーブル!$A$3:$C$8,2,0)</f>
        <v>紳士服Ｌ</v>
      </c>
      <c r="C22" s="3">
        <v>114</v>
      </c>
      <c r="D22" s="3">
        <f>VLOOKUP(A22,テーブル!$A$3:$C$8,3,0)*C22</f>
        <v>194940</v>
      </c>
      <c r="E22" s="3">
        <f>ROUND(D22*VLOOKUP(D22,テーブル!$E$3:$F$5,2,1),-1)</f>
        <v>13060</v>
      </c>
      <c r="F22" s="3">
        <f t="shared" si="0"/>
        <v>181880</v>
      </c>
      <c r="G22" s="10">
        <f t="shared" si="1"/>
        <v>7</v>
      </c>
    </row>
    <row r="23" spans="1:7">
      <c r="A23" s="9">
        <v>201</v>
      </c>
      <c r="B23" s="2" t="str">
        <f>VLOOKUP(A23,テーブル!$A$3:$C$8,2,0)</f>
        <v>婦人服Ｓ</v>
      </c>
      <c r="C23" s="3">
        <v>117</v>
      </c>
      <c r="D23" s="3">
        <f>VLOOKUP(A23,テーブル!$A$3:$C$8,3,0)*C23</f>
        <v>252720</v>
      </c>
      <c r="E23" s="3">
        <f>ROUND(D23*VLOOKUP(D23,テーブル!$E$3:$F$5,2,1),-1)</f>
        <v>16930</v>
      </c>
      <c r="F23" s="3">
        <f t="shared" si="0"/>
        <v>235790</v>
      </c>
      <c r="G23" s="10">
        <f t="shared" si="1"/>
        <v>7</v>
      </c>
    </row>
    <row r="24" spans="1:7">
      <c r="A24" s="9">
        <v>202</v>
      </c>
      <c r="B24" s="2" t="str">
        <f>VLOOKUP(A24,テーブル!$A$3:$C$8,2,0)</f>
        <v>婦人服Ｍ</v>
      </c>
      <c r="C24" s="3">
        <v>98</v>
      </c>
      <c r="D24" s="3">
        <f>VLOOKUP(A24,テーブル!$A$3:$C$8,3,0)*C24</f>
        <v>223440</v>
      </c>
      <c r="E24" s="3">
        <f>ROUND(D24*VLOOKUP(D24,テーブル!$E$3:$F$5,2,1),-1)</f>
        <v>14970</v>
      </c>
      <c r="F24" s="3">
        <f t="shared" si="0"/>
        <v>208470</v>
      </c>
      <c r="G24" s="10">
        <f t="shared" si="1"/>
        <v>5</v>
      </c>
    </row>
    <row r="25" spans="1:7">
      <c r="A25" s="9">
        <v>203</v>
      </c>
      <c r="B25" s="2" t="str">
        <f>VLOOKUP(A25,テーブル!$A$3:$C$8,2,0)</f>
        <v>婦人服Ｌ</v>
      </c>
      <c r="C25" s="3">
        <v>142</v>
      </c>
      <c r="D25" s="3">
        <f>VLOOKUP(A25,テーブル!$A$3:$C$8,3,0)*C25</f>
        <v>339380</v>
      </c>
      <c r="E25" s="3">
        <f>ROUND(D25*VLOOKUP(D25,テーブル!$E$3:$F$5,2,1),-1)</f>
        <v>25790</v>
      </c>
      <c r="F25" s="3">
        <f t="shared" si="0"/>
        <v>313590</v>
      </c>
      <c r="G25" s="10">
        <f t="shared" si="1"/>
        <v>8</v>
      </c>
    </row>
    <row r="26" spans="1:7">
      <c r="A26" s="9"/>
      <c r="B26" s="2"/>
      <c r="C26" s="3"/>
      <c r="D26" s="3"/>
      <c r="E26" s="3"/>
      <c r="F26" s="3"/>
      <c r="G26" s="10"/>
    </row>
    <row r="27" spans="1:7" ht="14.25" thickBot="1">
      <c r="A27" s="12"/>
      <c r="B27" s="13" t="s">
        <v>9</v>
      </c>
      <c r="C27" s="14">
        <f>SUM(C2:C25)</f>
        <v>2618</v>
      </c>
      <c r="D27" s="14">
        <f>SUM(D2:D25)</f>
        <v>5184510</v>
      </c>
      <c r="E27" s="14">
        <f>SUM(E2:E25)</f>
        <v>352630</v>
      </c>
      <c r="F27" s="14">
        <f>SUM(F2:F25)</f>
        <v>4831880</v>
      </c>
      <c r="G27" s="22">
        <f>SUM(G2:G25)</f>
        <v>138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2EDE-920D-4F47-B286-E957D811BA6F}">
  <dimension ref="A1:G13"/>
  <sheetViews>
    <sheetView zoomScaleNormal="100" workbookViewId="0">
      <selection sqref="A1:G1"/>
    </sheetView>
  </sheetViews>
  <sheetFormatPr defaultRowHeight="13.5"/>
  <cols>
    <col min="1" max="1" width="7.5" bestFit="1" customWidth="1"/>
    <col min="2" max="2" width="9.5" bestFit="1" customWidth="1"/>
    <col min="3" max="3" width="7.5" bestFit="1" customWidth="1"/>
    <col min="4" max="4" width="10.5" bestFit="1" customWidth="1"/>
    <col min="5" max="6" width="7.5" bestFit="1" customWidth="1"/>
    <col min="7" max="7" width="6.5" bestFit="1" customWidth="1"/>
  </cols>
  <sheetData>
    <row r="1" spans="1:7" ht="14.25" thickBot="1">
      <c r="A1" s="39" t="s">
        <v>10</v>
      </c>
      <c r="B1" s="39"/>
      <c r="C1" s="39"/>
      <c r="D1" s="39"/>
      <c r="E1" s="39"/>
      <c r="F1" s="39"/>
      <c r="G1" s="39"/>
    </row>
    <row r="2" spans="1:7">
      <c r="A2" s="6" t="s">
        <v>0</v>
      </c>
      <c r="B2" s="7" t="s">
        <v>1</v>
      </c>
      <c r="C2" s="7" t="s">
        <v>2</v>
      </c>
      <c r="D2" s="7" t="s">
        <v>4</v>
      </c>
      <c r="E2" s="7" t="s">
        <v>5</v>
      </c>
      <c r="F2" s="7" t="s">
        <v>68</v>
      </c>
      <c r="G2" s="8" t="s">
        <v>11</v>
      </c>
    </row>
    <row r="3" spans="1:7">
      <c r="A3" s="9">
        <v>101</v>
      </c>
      <c r="B3" s="2" t="str">
        <f>VLOOKUP(A3,テーブル!$A$3:$C$8,2,0)</f>
        <v>紳士服Ｓ</v>
      </c>
      <c r="C3" s="3">
        <f>DSUM(仕入データ表!$A$1:$G$25,C$2,$A$12:$A$13)</f>
        <v>409</v>
      </c>
      <c r="D3" s="3">
        <f>DSUM(仕入データ表!$A$1:$G$25,D$2,$A$12:$A$13)</f>
        <v>603110</v>
      </c>
      <c r="E3" s="3">
        <f>DSUM(仕入データ表!$A$1:$G$25,E$2,$A$12:$A$13)</f>
        <v>20</v>
      </c>
      <c r="F3" s="4">
        <f>VLOOKUP(D3,テーブル!$H$4:$K$5,MOD(A3,10)+1,1)</f>
        <v>0.3</v>
      </c>
      <c r="G3" s="10">
        <f>ROUNDDOWN(D3/(C3+E3)*(1+F3),-1)</f>
        <v>1820</v>
      </c>
    </row>
    <row r="4" spans="1:7">
      <c r="A4" s="9">
        <v>102</v>
      </c>
      <c r="B4" s="2" t="str">
        <f>VLOOKUP(A4,テーブル!$A$3:$C$8,2,0)</f>
        <v>紳士服Ｍ</v>
      </c>
      <c r="C4" s="3">
        <f>DSUM(仕入データ表!$A$1:$G$25,C$2,$B$12:$B$13)</f>
        <v>385</v>
      </c>
      <c r="D4" s="3">
        <f>DSUM(仕入データ表!$A$1:$G$25,D$2,$B$12:$B$13)</f>
        <v>594780</v>
      </c>
      <c r="E4" s="3">
        <f>DSUM(仕入データ表!$A$1:$G$25,E$2,$B$12:$B$13)</f>
        <v>19</v>
      </c>
      <c r="F4" s="4">
        <f>VLOOKUP(D4,テーブル!$H$4:$K$5,MOD(A4,10)+1,1)</f>
        <v>0.28999999999999998</v>
      </c>
      <c r="G4" s="10">
        <f t="shared" ref="G4:G8" si="0">ROUNDDOWN(D4/(C4+E4)*(1+F4),-1)</f>
        <v>1890</v>
      </c>
    </row>
    <row r="5" spans="1:7">
      <c r="A5" s="9">
        <v>103</v>
      </c>
      <c r="B5" s="2" t="str">
        <f>VLOOKUP(A5,テーブル!$A$3:$C$8,2,0)</f>
        <v>紳士服Ｌ</v>
      </c>
      <c r="C5" s="3">
        <f>DSUM(仕入データ表!$A$1:$G$25,C$2,$C$12:$C$13)</f>
        <v>425</v>
      </c>
      <c r="D5" s="3">
        <f>DSUM(仕入データ表!$A$1:$G$25,D$2,$C$12:$C$13)</f>
        <v>679540</v>
      </c>
      <c r="E5" s="3">
        <f>DSUM(仕入データ表!$A$1:$G$25,E$2,$C$12:$C$13)</f>
        <v>23</v>
      </c>
      <c r="F5" s="4">
        <f>VLOOKUP(D5,テーブル!$H$4:$K$5,MOD(A5,10)+1,1)</f>
        <v>0.28000000000000003</v>
      </c>
      <c r="G5" s="10">
        <f t="shared" si="0"/>
        <v>1940</v>
      </c>
    </row>
    <row r="6" spans="1:7">
      <c r="A6" s="9">
        <v>201</v>
      </c>
      <c r="B6" s="2" t="str">
        <f>VLOOKUP(A6,テーブル!$A$3:$C$8,2,0)</f>
        <v>婦人服Ｓ</v>
      </c>
      <c r="C6" s="3">
        <f>DSUM(仕入データ表!$A$1:$G$25,C$2,$D$12:$D$13)</f>
        <v>461</v>
      </c>
      <c r="D6" s="3">
        <f>DSUM(仕入データ表!$A$1:$G$25,D$2,$D$12:$D$13)</f>
        <v>926610</v>
      </c>
      <c r="E6" s="3">
        <f>DSUM(仕入データ表!$A$1:$G$25,E$2,$D$12:$D$13)</f>
        <v>25</v>
      </c>
      <c r="F6" s="4">
        <f>VLOOKUP(D6,テーブル!$H$4:$K$5,MOD(A6,10)+1,1)</f>
        <v>0.27</v>
      </c>
      <c r="G6" s="10">
        <f t="shared" si="0"/>
        <v>2420</v>
      </c>
    </row>
    <row r="7" spans="1:7">
      <c r="A7" s="9">
        <v>202</v>
      </c>
      <c r="B7" s="2" t="str">
        <f>VLOOKUP(A7,テーブル!$A$3:$C$8,2,0)</f>
        <v>婦人服Ｍ</v>
      </c>
      <c r="C7" s="3">
        <f>DSUM(仕入データ表!$A$1:$G$25,C$2,$E$12:$E$13)</f>
        <v>485</v>
      </c>
      <c r="D7" s="3">
        <f>DSUM(仕入データ表!$A$1:$G$25,D$2,$E$12:$E$13)</f>
        <v>1023770</v>
      </c>
      <c r="E7" s="3">
        <f>DSUM(仕入データ表!$A$1:$G$25,E$2,$E$12:$E$13)</f>
        <v>27</v>
      </c>
      <c r="F7" s="4">
        <f>VLOOKUP(D7,テーブル!$H$4:$K$5,MOD(A7,10)+1,1)</f>
        <v>0.26</v>
      </c>
      <c r="G7" s="10">
        <f t="shared" si="0"/>
        <v>2510</v>
      </c>
    </row>
    <row r="8" spans="1:7">
      <c r="A8" s="9">
        <v>203</v>
      </c>
      <c r="B8" s="2" t="str">
        <f>VLOOKUP(A8,テーブル!$A$3:$C$8,2,0)</f>
        <v>婦人服Ｌ</v>
      </c>
      <c r="C8" s="3">
        <f>DSUM(仕入データ表!$A$1:$G$25,C$2,$F$12:$F$13)</f>
        <v>453</v>
      </c>
      <c r="D8" s="3">
        <f>DSUM(仕入データ表!$A$1:$G$25,D$2,$F$12:$F$13)</f>
        <v>1004070</v>
      </c>
      <c r="E8" s="3">
        <f>DSUM(仕入データ表!$A$1:$G$25,E$2,$F$12:$F$13)</f>
        <v>24</v>
      </c>
      <c r="F8" s="4">
        <f>VLOOKUP(D8,テーブル!$H$4:$K$5,MOD(A8,10)+1,1)</f>
        <v>0.25</v>
      </c>
      <c r="G8" s="10">
        <f t="shared" si="0"/>
        <v>2630</v>
      </c>
    </row>
    <row r="9" spans="1:7">
      <c r="A9" s="9"/>
      <c r="B9" s="2"/>
      <c r="C9" s="3"/>
      <c r="D9" s="3"/>
      <c r="E9" s="3"/>
      <c r="F9" s="2"/>
      <c r="G9" s="11"/>
    </row>
    <row r="10" spans="1:7" ht="14.25" thickBot="1">
      <c r="A10" s="12"/>
      <c r="B10" s="13" t="s">
        <v>9</v>
      </c>
      <c r="C10" s="14">
        <f>SUM(C3:C8)</f>
        <v>2618</v>
      </c>
      <c r="D10" s="14">
        <f t="shared" ref="D10:E10" si="1">SUM(D3:D8)</f>
        <v>4831880</v>
      </c>
      <c r="E10" s="14">
        <f t="shared" si="1"/>
        <v>138</v>
      </c>
      <c r="F10" s="15"/>
      <c r="G10" s="16"/>
    </row>
    <row r="11" spans="1:7" ht="14.25" thickBot="1"/>
    <row r="12" spans="1:7">
      <c r="A12" s="17" t="s">
        <v>0</v>
      </c>
      <c r="B12" s="17" t="s">
        <v>0</v>
      </c>
      <c r="C12" s="17" t="s">
        <v>0</v>
      </c>
      <c r="D12" s="17" t="s">
        <v>0</v>
      </c>
      <c r="E12" s="17" t="s">
        <v>0</v>
      </c>
      <c r="F12" s="17" t="s">
        <v>0</v>
      </c>
    </row>
    <row r="13" spans="1:7" ht="14.25" thickBot="1">
      <c r="A13" s="18">
        <v>101</v>
      </c>
      <c r="B13" s="18">
        <v>102</v>
      </c>
      <c r="C13" s="18">
        <v>103</v>
      </c>
      <c r="D13" s="18">
        <v>201</v>
      </c>
      <c r="E13" s="18">
        <v>202</v>
      </c>
      <c r="F13" s="18">
        <v>203</v>
      </c>
    </row>
  </sheetData>
  <sortState xmlns:xlrd2="http://schemas.microsoft.com/office/spreadsheetml/2017/richdata2" ref="A3:G8">
    <sortCondition ref="A3:A8"/>
  </sortState>
  <mergeCells count="1">
    <mergeCell ref="A1:G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zoomScaleNormal="100" workbookViewId="0"/>
  </sheetViews>
  <sheetFormatPr defaultRowHeight="13.5"/>
  <cols>
    <col min="1" max="1" width="7.5" bestFit="1" customWidth="1"/>
    <col min="2" max="2" width="9.5" bestFit="1" customWidth="1"/>
    <col min="3" max="3" width="7.5" bestFit="1" customWidth="1"/>
    <col min="4" max="4" width="12" customWidth="1"/>
    <col min="5" max="5" width="7.5" bestFit="1" customWidth="1"/>
    <col min="6" max="6" width="6.5" bestFit="1" customWidth="1"/>
  </cols>
  <sheetData>
    <row r="1" spans="1:6">
      <c r="A1" s="6" t="s">
        <v>13</v>
      </c>
      <c r="B1" s="7" t="s">
        <v>14</v>
      </c>
      <c r="C1" s="7" t="s">
        <v>0</v>
      </c>
      <c r="D1" s="7" t="s">
        <v>1</v>
      </c>
      <c r="E1" s="7" t="s">
        <v>15</v>
      </c>
      <c r="F1" s="8" t="s">
        <v>16</v>
      </c>
    </row>
    <row r="2" spans="1:6">
      <c r="A2" s="9" t="s">
        <v>50</v>
      </c>
      <c r="B2" s="2" t="str">
        <f>VLOOKUP(A2,テーブル!$M$3:$N$10,2,0)</f>
        <v>秋山衣料</v>
      </c>
      <c r="C2" s="2">
        <v>101</v>
      </c>
      <c r="D2" s="2" t="str">
        <f>VLOOKUP(C2,テーブル!$A$3:$C$8,2,0)</f>
        <v>紳士服Ｓ</v>
      </c>
      <c r="E2" s="23">
        <v>76</v>
      </c>
      <c r="F2" s="31">
        <f>ROUNDUP(IF(E2&lt;110,VLOOKUP(C2,定価計算表!$A$3:$G$8,7,0)*0.92,VLOOKUP(C2,定価計算表!$A$3:$G$8,7,0)*0.89),0)</f>
        <v>1675</v>
      </c>
    </row>
    <row r="3" spans="1:6">
      <c r="A3" s="9" t="s">
        <v>50</v>
      </c>
      <c r="B3" s="2" t="str">
        <f>VLOOKUP(A3,テーブル!$M$3:$N$10,2,0)</f>
        <v>秋山衣料</v>
      </c>
      <c r="C3" s="2">
        <v>103</v>
      </c>
      <c r="D3" s="2" t="str">
        <f>VLOOKUP(C3,テーブル!$A$3:$C$8,2,0)</f>
        <v>紳士服Ｌ</v>
      </c>
      <c r="E3" s="23">
        <v>113</v>
      </c>
      <c r="F3" s="31">
        <f>ROUNDUP(IF(E3&lt;110,VLOOKUP(C3,定価計算表!$A$3:$G$8,7,0)*0.92,VLOOKUP(C3,定価計算表!$A$3:$G$8,7,0)*0.89),0)</f>
        <v>1727</v>
      </c>
    </row>
    <row r="4" spans="1:6">
      <c r="A4" s="9" t="s">
        <v>50</v>
      </c>
      <c r="B4" s="2" t="str">
        <f>VLOOKUP(A4,テーブル!$M$3:$N$10,2,0)</f>
        <v>秋山衣料</v>
      </c>
      <c r="C4" s="2">
        <v>202</v>
      </c>
      <c r="D4" s="2" t="str">
        <f>VLOOKUP(C4,テーブル!$A$3:$C$8,2,0)</f>
        <v>婦人服Ｍ</v>
      </c>
      <c r="E4" s="23">
        <v>95</v>
      </c>
      <c r="F4" s="31">
        <f>ROUNDUP(IF(E4&lt;110,VLOOKUP(C4,定価計算表!$A$3:$G$8,7,0)*0.92,VLOOKUP(C4,定価計算表!$A$3:$G$8,7,0)*0.89),0)</f>
        <v>2310</v>
      </c>
    </row>
    <row r="5" spans="1:6">
      <c r="A5" s="9" t="s">
        <v>52</v>
      </c>
      <c r="B5" s="2" t="str">
        <f>VLOOKUP(A5,テーブル!$M$3:$N$10,2,0)</f>
        <v>佐藤総業</v>
      </c>
      <c r="C5" s="2">
        <v>102</v>
      </c>
      <c r="D5" s="2" t="str">
        <f>VLOOKUP(C5,テーブル!$A$3:$C$8,2,0)</f>
        <v>紳士服Ｍ</v>
      </c>
      <c r="E5" s="23">
        <v>102</v>
      </c>
      <c r="F5" s="31">
        <f>ROUNDUP(IF(E5&lt;110,VLOOKUP(C5,定価計算表!$A$3:$G$8,7,0)*0.92,VLOOKUP(C5,定価計算表!$A$3:$G$8,7,0)*0.89),0)</f>
        <v>1739</v>
      </c>
    </row>
    <row r="6" spans="1:6">
      <c r="A6" s="9" t="s">
        <v>52</v>
      </c>
      <c r="B6" s="2" t="str">
        <f>VLOOKUP(A6,テーブル!$M$3:$N$10,2,0)</f>
        <v>佐藤総業</v>
      </c>
      <c r="C6" s="2">
        <v>103</v>
      </c>
      <c r="D6" s="2" t="str">
        <f>VLOOKUP(C6,テーブル!$A$3:$C$8,2,0)</f>
        <v>紳士服Ｌ</v>
      </c>
      <c r="E6" s="23">
        <v>128</v>
      </c>
      <c r="F6" s="31">
        <f>ROUNDUP(IF(E6&lt;110,VLOOKUP(C6,定価計算表!$A$3:$G$8,7,0)*0.92,VLOOKUP(C6,定価計算表!$A$3:$G$8,7,0)*0.89),0)</f>
        <v>1727</v>
      </c>
    </row>
    <row r="7" spans="1:6">
      <c r="A7" s="9" t="s">
        <v>52</v>
      </c>
      <c r="B7" s="2" t="str">
        <f>VLOOKUP(A7,テーブル!$M$3:$N$10,2,0)</f>
        <v>佐藤総業</v>
      </c>
      <c r="C7" s="2">
        <v>203</v>
      </c>
      <c r="D7" s="2" t="str">
        <f>VLOOKUP(C7,テーブル!$A$3:$C$8,2,0)</f>
        <v>婦人服Ｌ</v>
      </c>
      <c r="E7" s="23">
        <v>115</v>
      </c>
      <c r="F7" s="31">
        <f>ROUNDUP(IF(E7&lt;110,VLOOKUP(C7,定価計算表!$A$3:$G$8,7,0)*0.92,VLOOKUP(C7,定価計算表!$A$3:$G$8,7,0)*0.89),0)</f>
        <v>2341</v>
      </c>
    </row>
    <row r="8" spans="1:6">
      <c r="A8" s="9" t="s">
        <v>54</v>
      </c>
      <c r="B8" s="2" t="str">
        <f>VLOOKUP(A8,テーブル!$M$3:$N$10,2,0)</f>
        <v>オカクラ</v>
      </c>
      <c r="C8" s="2">
        <v>101</v>
      </c>
      <c r="D8" s="2" t="str">
        <f>VLOOKUP(C8,テーブル!$A$3:$C$8,2,0)</f>
        <v>紳士服Ｓ</v>
      </c>
      <c r="E8" s="23">
        <v>125</v>
      </c>
      <c r="F8" s="31">
        <f>ROUNDUP(IF(E8&lt;110,VLOOKUP(C8,定価計算表!$A$3:$G$8,7,0)*0.92,VLOOKUP(C8,定価計算表!$A$3:$G$8,7,0)*0.89),0)</f>
        <v>1620</v>
      </c>
    </row>
    <row r="9" spans="1:6">
      <c r="A9" s="9" t="s">
        <v>54</v>
      </c>
      <c r="B9" s="2" t="str">
        <f>VLOOKUP(A9,テーブル!$M$3:$N$10,2,0)</f>
        <v>オカクラ</v>
      </c>
      <c r="C9" s="2">
        <v>201</v>
      </c>
      <c r="D9" s="2" t="str">
        <f>VLOOKUP(C9,テーブル!$A$3:$C$8,2,0)</f>
        <v>婦人服Ｓ</v>
      </c>
      <c r="E9" s="23">
        <v>127</v>
      </c>
      <c r="F9" s="31">
        <f>ROUNDUP(IF(E9&lt;110,VLOOKUP(C9,定価計算表!$A$3:$G$8,7,0)*0.92,VLOOKUP(C9,定価計算表!$A$3:$G$8,7,0)*0.89),0)</f>
        <v>2154</v>
      </c>
    </row>
    <row r="10" spans="1:6">
      <c r="A10" s="9" t="s">
        <v>54</v>
      </c>
      <c r="B10" s="2" t="str">
        <f>VLOOKUP(A10,テーブル!$M$3:$N$10,2,0)</f>
        <v>オカクラ</v>
      </c>
      <c r="C10" s="2">
        <v>202</v>
      </c>
      <c r="D10" s="2" t="str">
        <f>VLOOKUP(C10,テーブル!$A$3:$C$8,2,0)</f>
        <v>婦人服Ｍ</v>
      </c>
      <c r="E10" s="23">
        <v>123</v>
      </c>
      <c r="F10" s="31">
        <f>ROUNDUP(IF(E10&lt;110,VLOOKUP(C10,定価計算表!$A$3:$G$8,7,0)*0.92,VLOOKUP(C10,定価計算表!$A$3:$G$8,7,0)*0.89),0)</f>
        <v>2234</v>
      </c>
    </row>
    <row r="11" spans="1:6">
      <c r="A11" s="9" t="s">
        <v>56</v>
      </c>
      <c r="B11" s="2" t="str">
        <f>VLOOKUP(A11,テーブル!$M$3:$N$10,2,0)</f>
        <v>川村商店</v>
      </c>
      <c r="C11" s="2">
        <v>102</v>
      </c>
      <c r="D11" s="2" t="str">
        <f>VLOOKUP(C11,テーブル!$A$3:$C$8,2,0)</f>
        <v>紳士服Ｍ</v>
      </c>
      <c r="E11" s="23">
        <v>87</v>
      </c>
      <c r="F11" s="31">
        <f>ROUNDUP(IF(E11&lt;110,VLOOKUP(C11,定価計算表!$A$3:$G$8,7,0)*0.92,VLOOKUP(C11,定価計算表!$A$3:$G$8,7,0)*0.89),0)</f>
        <v>1739</v>
      </c>
    </row>
    <row r="12" spans="1:6">
      <c r="A12" s="9" t="s">
        <v>56</v>
      </c>
      <c r="B12" s="2" t="str">
        <f>VLOOKUP(A12,テーブル!$M$3:$N$10,2,0)</f>
        <v>川村商店</v>
      </c>
      <c r="C12" s="2">
        <v>103</v>
      </c>
      <c r="D12" s="2" t="str">
        <f>VLOOKUP(C12,テーブル!$A$3:$C$8,2,0)</f>
        <v>紳士服Ｌ</v>
      </c>
      <c r="E12" s="23">
        <v>85</v>
      </c>
      <c r="F12" s="31">
        <f>ROUNDUP(IF(E12&lt;110,VLOOKUP(C12,定価計算表!$A$3:$G$8,7,0)*0.92,VLOOKUP(C12,定価計算表!$A$3:$G$8,7,0)*0.89),0)</f>
        <v>1785</v>
      </c>
    </row>
    <row r="13" spans="1:6">
      <c r="A13" s="9" t="s">
        <v>56</v>
      </c>
      <c r="B13" s="2" t="str">
        <f>VLOOKUP(A13,テーブル!$M$3:$N$10,2,0)</f>
        <v>川村商店</v>
      </c>
      <c r="C13" s="2">
        <v>203</v>
      </c>
      <c r="D13" s="2" t="str">
        <f>VLOOKUP(C13,テーブル!$A$3:$C$8,2,0)</f>
        <v>婦人服Ｌ</v>
      </c>
      <c r="E13" s="23">
        <v>107</v>
      </c>
      <c r="F13" s="31">
        <f>ROUNDUP(IF(E13&lt;110,VLOOKUP(C13,定価計算表!$A$3:$G$8,7,0)*0.92,VLOOKUP(C13,定価計算表!$A$3:$G$8,7,0)*0.89),0)</f>
        <v>2420</v>
      </c>
    </row>
    <row r="14" spans="1:6">
      <c r="A14" s="9" t="s">
        <v>58</v>
      </c>
      <c r="B14" s="2" t="str">
        <f>VLOOKUP(A14,テーブル!$M$3:$N$10,2,0)</f>
        <v>ＡＳＫＡ</v>
      </c>
      <c r="C14" s="2">
        <v>101</v>
      </c>
      <c r="D14" s="2" t="str">
        <f>VLOOKUP(C14,テーブル!$A$3:$C$8,2,0)</f>
        <v>紳士服Ｓ</v>
      </c>
      <c r="E14" s="23">
        <v>131</v>
      </c>
      <c r="F14" s="31">
        <f>ROUNDUP(IF(E14&lt;110,VLOOKUP(C14,定価計算表!$A$3:$G$8,7,0)*0.92,VLOOKUP(C14,定価計算表!$A$3:$G$8,7,0)*0.89),0)</f>
        <v>1620</v>
      </c>
    </row>
    <row r="15" spans="1:6">
      <c r="A15" s="9" t="s">
        <v>58</v>
      </c>
      <c r="B15" s="2" t="str">
        <f>VLOOKUP(A15,テーブル!$M$3:$N$10,2,0)</f>
        <v>ＡＳＫＡ</v>
      </c>
      <c r="C15" s="2">
        <v>201</v>
      </c>
      <c r="D15" s="2" t="str">
        <f>VLOOKUP(C15,テーブル!$A$3:$C$8,2,0)</f>
        <v>婦人服Ｓ</v>
      </c>
      <c r="E15" s="23">
        <v>106</v>
      </c>
      <c r="F15" s="31">
        <f>ROUNDUP(IF(E15&lt;110,VLOOKUP(C15,定価計算表!$A$3:$G$8,7,0)*0.92,VLOOKUP(C15,定価計算表!$A$3:$G$8,7,0)*0.89),0)</f>
        <v>2227</v>
      </c>
    </row>
    <row r="16" spans="1:6">
      <c r="A16" s="9" t="s">
        <v>58</v>
      </c>
      <c r="B16" s="2" t="str">
        <f>VLOOKUP(A16,テーブル!$M$3:$N$10,2,0)</f>
        <v>ＡＳＫＡ</v>
      </c>
      <c r="C16" s="2">
        <v>203</v>
      </c>
      <c r="D16" s="2" t="str">
        <f>VLOOKUP(C16,テーブル!$A$3:$C$8,2,0)</f>
        <v>婦人服Ｌ</v>
      </c>
      <c r="E16" s="23">
        <v>90</v>
      </c>
      <c r="F16" s="31">
        <f>ROUNDUP(IF(E16&lt;110,VLOOKUP(C16,定価計算表!$A$3:$G$8,7,0)*0.92,VLOOKUP(C16,定価計算表!$A$3:$G$8,7,0)*0.89),0)</f>
        <v>2420</v>
      </c>
    </row>
    <row r="17" spans="1:6">
      <c r="A17" s="9" t="s">
        <v>60</v>
      </c>
      <c r="B17" s="2" t="str">
        <f>VLOOKUP(A17,テーブル!$M$3:$N$10,2,0)</f>
        <v>星洋装店</v>
      </c>
      <c r="C17" s="2">
        <v>102</v>
      </c>
      <c r="D17" s="2" t="str">
        <f>VLOOKUP(C17,テーブル!$A$3:$C$8,2,0)</f>
        <v>紳士服Ｍ</v>
      </c>
      <c r="E17" s="23">
        <v>110</v>
      </c>
      <c r="F17" s="31">
        <f>ROUNDUP(IF(E17&lt;110,VLOOKUP(C17,定価計算表!$A$3:$G$8,7,0)*0.92,VLOOKUP(C17,定価計算表!$A$3:$G$8,7,0)*0.89),0)</f>
        <v>1683</v>
      </c>
    </row>
    <row r="18" spans="1:6">
      <c r="A18" s="9" t="s">
        <v>60</v>
      </c>
      <c r="B18" s="2" t="str">
        <f>VLOOKUP(A18,テーブル!$M$3:$N$10,2,0)</f>
        <v>星洋装店</v>
      </c>
      <c r="C18" s="2">
        <v>201</v>
      </c>
      <c r="D18" s="2" t="str">
        <f>VLOOKUP(C18,テーブル!$A$3:$C$8,2,0)</f>
        <v>婦人服Ｓ</v>
      </c>
      <c r="E18" s="23">
        <v>109</v>
      </c>
      <c r="F18" s="31">
        <f>ROUNDUP(IF(E18&lt;110,VLOOKUP(C18,定価計算表!$A$3:$G$8,7,0)*0.92,VLOOKUP(C18,定価計算表!$A$3:$G$8,7,0)*0.89),0)</f>
        <v>2227</v>
      </c>
    </row>
    <row r="19" spans="1:6">
      <c r="A19" s="9" t="s">
        <v>60</v>
      </c>
      <c r="B19" s="2" t="str">
        <f>VLOOKUP(A19,テーブル!$M$3:$N$10,2,0)</f>
        <v>星洋装店</v>
      </c>
      <c r="C19" s="2">
        <v>202</v>
      </c>
      <c r="D19" s="2" t="str">
        <f>VLOOKUP(C19,テーブル!$A$3:$C$8,2,0)</f>
        <v>婦人服Ｍ</v>
      </c>
      <c r="E19" s="23">
        <v>108</v>
      </c>
      <c r="F19" s="31">
        <f>ROUNDUP(IF(E19&lt;110,VLOOKUP(C19,定価計算表!$A$3:$G$8,7,0)*0.92,VLOOKUP(C19,定価計算表!$A$3:$G$8,7,0)*0.89),0)</f>
        <v>2310</v>
      </c>
    </row>
    <row r="20" spans="1:6">
      <c r="A20" s="9" t="s">
        <v>62</v>
      </c>
      <c r="B20" s="2" t="str">
        <f>VLOOKUP(A20,テーブル!$M$3:$N$10,2,0)</f>
        <v>みどり屋</v>
      </c>
      <c r="C20" s="2">
        <v>101</v>
      </c>
      <c r="D20" s="2" t="str">
        <f>VLOOKUP(C20,テーブル!$A$3:$C$8,2,0)</f>
        <v>紳士服Ｓ</v>
      </c>
      <c r="E20" s="23">
        <v>74</v>
      </c>
      <c r="F20" s="31">
        <f>ROUNDUP(IF(E20&lt;110,VLOOKUP(C20,定価計算表!$A$3:$G$8,7,0)*0.92,VLOOKUP(C20,定価計算表!$A$3:$G$8,7,0)*0.89),0)</f>
        <v>1675</v>
      </c>
    </row>
    <row r="21" spans="1:6">
      <c r="A21" s="9" t="s">
        <v>62</v>
      </c>
      <c r="B21" s="2" t="str">
        <f>VLOOKUP(A21,テーブル!$M$3:$N$10,2,0)</f>
        <v>みどり屋</v>
      </c>
      <c r="C21" s="2">
        <v>103</v>
      </c>
      <c r="D21" s="2" t="str">
        <f>VLOOKUP(C21,テーブル!$A$3:$C$8,2,0)</f>
        <v>紳士服Ｌ</v>
      </c>
      <c r="E21" s="23">
        <v>99</v>
      </c>
      <c r="F21" s="31">
        <f>ROUNDUP(IF(E21&lt;110,VLOOKUP(C21,定価計算表!$A$3:$G$8,7,0)*0.92,VLOOKUP(C21,定価計算表!$A$3:$G$8,7,0)*0.89),0)</f>
        <v>1785</v>
      </c>
    </row>
    <row r="22" spans="1:6">
      <c r="A22" s="9" t="s">
        <v>62</v>
      </c>
      <c r="B22" s="2" t="str">
        <f>VLOOKUP(A22,テーブル!$M$3:$N$10,2,0)</f>
        <v>みどり屋</v>
      </c>
      <c r="C22" s="2">
        <v>202</v>
      </c>
      <c r="D22" s="2" t="str">
        <f>VLOOKUP(C22,テーブル!$A$3:$C$8,2,0)</f>
        <v>婦人服Ｍ</v>
      </c>
      <c r="E22" s="23">
        <v>149</v>
      </c>
      <c r="F22" s="31">
        <f>ROUNDUP(IF(E22&lt;110,VLOOKUP(C22,定価計算表!$A$3:$G$8,7,0)*0.92,VLOOKUP(C22,定価計算表!$A$3:$G$8,7,0)*0.89),0)</f>
        <v>2234</v>
      </c>
    </row>
    <row r="23" spans="1:6">
      <c r="A23" s="9" t="s">
        <v>64</v>
      </c>
      <c r="B23" s="2" t="str">
        <f>VLOOKUP(A23,テーブル!$M$3:$N$10,2,0)</f>
        <v>洋服専科</v>
      </c>
      <c r="C23" s="2">
        <v>102</v>
      </c>
      <c r="D23" s="2" t="str">
        <f>VLOOKUP(C23,テーブル!$A$3:$C$8,2,0)</f>
        <v>紳士服Ｍ</v>
      </c>
      <c r="E23" s="23">
        <v>79</v>
      </c>
      <c r="F23" s="31">
        <f>ROUNDUP(IF(E23&lt;110,VLOOKUP(C23,定価計算表!$A$3:$G$8,7,0)*0.92,VLOOKUP(C23,定価計算表!$A$3:$G$8,7,0)*0.89),0)</f>
        <v>1739</v>
      </c>
    </row>
    <row r="24" spans="1:6">
      <c r="A24" s="9" t="s">
        <v>64</v>
      </c>
      <c r="B24" s="2" t="str">
        <f>VLOOKUP(A24,テーブル!$M$3:$N$10,2,0)</f>
        <v>洋服専科</v>
      </c>
      <c r="C24" s="2">
        <v>201</v>
      </c>
      <c r="D24" s="2" t="str">
        <f>VLOOKUP(C24,テーブル!$A$3:$C$8,2,0)</f>
        <v>婦人服Ｓ</v>
      </c>
      <c r="E24" s="23">
        <v>130</v>
      </c>
      <c r="F24" s="31">
        <f>ROUNDUP(IF(E24&lt;110,VLOOKUP(C24,定価計算表!$A$3:$G$8,7,0)*0.92,VLOOKUP(C24,定価計算表!$A$3:$G$8,7,0)*0.89),0)</f>
        <v>2154</v>
      </c>
    </row>
    <row r="25" spans="1:6">
      <c r="A25" s="9" t="s">
        <v>64</v>
      </c>
      <c r="B25" s="2" t="str">
        <f>VLOOKUP(A25,テーブル!$M$3:$N$10,2,0)</f>
        <v>洋服専科</v>
      </c>
      <c r="C25" s="2">
        <v>203</v>
      </c>
      <c r="D25" s="2" t="str">
        <f>VLOOKUP(C25,テーブル!$A$3:$C$8,2,0)</f>
        <v>婦人服Ｌ</v>
      </c>
      <c r="E25" s="23">
        <v>132</v>
      </c>
      <c r="F25" s="31">
        <f>ROUNDUP(IF(E25&lt;110,VLOOKUP(C25,定価計算表!$A$3:$G$8,7,0)*0.92,VLOOKUP(C25,定価計算表!$A$3:$G$8,7,0)*0.89),0)</f>
        <v>2341</v>
      </c>
    </row>
    <row r="26" spans="1:6">
      <c r="A26" s="9"/>
      <c r="B26" s="2"/>
      <c r="C26" s="2"/>
      <c r="D26" s="2"/>
      <c r="E26" s="23"/>
      <c r="F26" s="24"/>
    </row>
    <row r="27" spans="1:6" ht="14.25" thickBot="1">
      <c r="A27" s="12"/>
      <c r="B27" s="13" t="s">
        <v>9</v>
      </c>
      <c r="C27" s="15"/>
      <c r="D27" s="15"/>
      <c r="E27" s="25">
        <f>SUM(E2:E25)</f>
        <v>2600</v>
      </c>
      <c r="F27" s="26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workbookViewId="0">
      <selection sqref="A1:E1"/>
    </sheetView>
  </sheetViews>
  <sheetFormatPr defaultRowHeight="13.5"/>
  <cols>
    <col min="1" max="1" width="7.5" bestFit="1" customWidth="1"/>
    <col min="2" max="2" width="9.5" bestFit="1" customWidth="1"/>
    <col min="3" max="3" width="10.5" bestFit="1" customWidth="1"/>
    <col min="4" max="4" width="8.5" bestFit="1" customWidth="1"/>
    <col min="5" max="5" width="10.5" bestFit="1" customWidth="1"/>
    <col min="7" max="7" width="9.5" bestFit="1" customWidth="1"/>
    <col min="8" max="8" width="8.5" bestFit="1" customWidth="1"/>
  </cols>
  <sheetData>
    <row r="1" spans="1:8" ht="14.25" thickBot="1">
      <c r="A1" s="39" t="s">
        <v>19</v>
      </c>
      <c r="B1" s="39"/>
      <c r="C1" s="39"/>
      <c r="D1" s="39"/>
      <c r="E1" s="39"/>
      <c r="G1" s="40" t="s">
        <v>66</v>
      </c>
      <c r="H1" s="40"/>
    </row>
    <row r="2" spans="1:8">
      <c r="A2" s="6" t="s">
        <v>13</v>
      </c>
      <c r="B2" s="7" t="s">
        <v>14</v>
      </c>
      <c r="C2" s="7" t="s">
        <v>17</v>
      </c>
      <c r="D2" s="7" t="s">
        <v>20</v>
      </c>
      <c r="E2" s="8" t="s">
        <v>21</v>
      </c>
      <c r="G2" s="6" t="s">
        <v>33</v>
      </c>
      <c r="H2" s="8" t="s">
        <v>38</v>
      </c>
    </row>
    <row r="3" spans="1:8">
      <c r="A3" s="9" t="s">
        <v>50</v>
      </c>
      <c r="B3" s="2" t="str">
        <f>VLOOKUP(A3,テーブル!$M$3:$N$10,2,0)</f>
        <v>秋山衣料</v>
      </c>
      <c r="C3" s="5">
        <f>SUMPRODUCT((売上データ表!$A$2:$A$25=A3)*1,売上データ表!$F$2:$F$25,売上データ表!$E$2:$E$25)</f>
        <v>541901</v>
      </c>
      <c r="D3" s="5">
        <f>ROUNDDOWN(C3*VLOOKUP(RIGHT(A3,1),テーブル!$P$3:$Q$5,2,0),0)</f>
        <v>23301</v>
      </c>
      <c r="E3" s="19">
        <f>C3-D3</f>
        <v>518600</v>
      </c>
      <c r="G3" s="9" t="s">
        <v>34</v>
      </c>
      <c r="H3" s="19">
        <f>DSUM(売上データ表!$A$1:$F$25,H$2,$G$6:$G$7)</f>
        <v>1209</v>
      </c>
    </row>
    <row r="4" spans="1:8" ht="14.25" thickBot="1">
      <c r="A4" s="9" t="s">
        <v>52</v>
      </c>
      <c r="B4" s="2" t="str">
        <f>VLOOKUP(A4,テーブル!$M$3:$N$10,2,0)</f>
        <v>佐藤総業</v>
      </c>
      <c r="C4" s="5">
        <f>SUMPRODUCT((売上データ表!$A$2:$A$25=A4)*1,売上データ表!$F$2:$F$25,売上データ表!$E$2:$E$25)</f>
        <v>667649</v>
      </c>
      <c r="D4" s="5">
        <f>ROUNDDOWN(C4*VLOOKUP(RIGHT(A4,1),テーブル!$P$3:$Q$5,2,0),0)</f>
        <v>32714</v>
      </c>
      <c r="E4" s="19">
        <f t="shared" ref="E4:E10" si="0">C4-D4</f>
        <v>634935</v>
      </c>
      <c r="G4" s="12" t="s">
        <v>35</v>
      </c>
      <c r="H4" s="21">
        <f>DSUM(売上データ表!$A$1:$F$25,H$2,$H$6:$H$7)</f>
        <v>1391</v>
      </c>
    </row>
    <row r="5" spans="1:8" ht="14.25" thickBot="1">
      <c r="A5" s="9" t="s">
        <v>54</v>
      </c>
      <c r="B5" s="2" t="str">
        <f>VLOOKUP(A5,テーブル!$M$3:$N$10,2,0)</f>
        <v>オカクラ</v>
      </c>
      <c r="C5" s="5">
        <f>SUMPRODUCT((売上データ表!$A$2:$A$25=A5)*1,売上データ表!$F$2:$F$25,売上データ表!$E$2:$E$25)</f>
        <v>750840</v>
      </c>
      <c r="D5" s="5">
        <f>ROUNDDOWN(C5*VLOOKUP(RIGHT(A5,1),テーブル!$P$3:$Q$5,2,0),0)</f>
        <v>27781</v>
      </c>
      <c r="E5" s="19">
        <f t="shared" si="0"/>
        <v>723059</v>
      </c>
    </row>
    <row r="6" spans="1:8">
      <c r="A6" s="9" t="s">
        <v>56</v>
      </c>
      <c r="B6" s="2" t="str">
        <f>VLOOKUP(A6,テーブル!$M$3:$N$10,2,0)</f>
        <v>川村商店</v>
      </c>
      <c r="C6" s="5">
        <f>SUMPRODUCT((売上データ表!$A$2:$A$25=A6)*1,売上データ表!$F$2:$F$25,売上データ表!$E$2:$E$25)</f>
        <v>561958</v>
      </c>
      <c r="D6" s="5">
        <f>ROUNDDOWN(C6*VLOOKUP(RIGHT(A6,1),テーブル!$P$3:$Q$5,2,0),0)</f>
        <v>27535</v>
      </c>
      <c r="E6" s="19">
        <f t="shared" si="0"/>
        <v>534423</v>
      </c>
      <c r="G6" s="17" t="s">
        <v>1</v>
      </c>
      <c r="H6" s="17" t="s">
        <v>1</v>
      </c>
    </row>
    <row r="7" spans="1:8" ht="14.25" thickBot="1">
      <c r="A7" s="9" t="s">
        <v>58</v>
      </c>
      <c r="B7" s="2" t="str">
        <f>VLOOKUP(A7,テーブル!$M$3:$N$10,2,0)</f>
        <v>ＡＳＫＡ</v>
      </c>
      <c r="C7" s="5">
        <f>SUMPRODUCT((売上データ表!$A$2:$A$25=A7)*1,売上データ表!$F$2:$F$25,売上データ表!$E$2:$E$25)</f>
        <v>666082</v>
      </c>
      <c r="D7" s="5">
        <f>ROUNDDOWN(C7*VLOOKUP(RIGHT(A7,1),テーブル!$P$3:$Q$5,2,0),0)</f>
        <v>24645</v>
      </c>
      <c r="E7" s="19">
        <f t="shared" si="0"/>
        <v>641437</v>
      </c>
      <c r="G7" s="18" t="s">
        <v>36</v>
      </c>
      <c r="H7" s="18" t="s">
        <v>37</v>
      </c>
    </row>
    <row r="8" spans="1:8">
      <c r="A8" s="9" t="s">
        <v>60</v>
      </c>
      <c r="B8" s="2" t="str">
        <f>VLOOKUP(A8,テーブル!$M$3:$N$10,2,0)</f>
        <v>星洋装店</v>
      </c>
      <c r="C8" s="5">
        <f>SUMPRODUCT((売上データ表!$A$2:$A$25=A8)*1,売上データ表!$F$2:$F$25,売上データ表!$E$2:$E$25)</f>
        <v>677353</v>
      </c>
      <c r="D8" s="5">
        <f>ROUNDDOWN(C8*VLOOKUP(RIGHT(A8,1),テーブル!$P$3:$Q$5,2,0),0)</f>
        <v>29126</v>
      </c>
      <c r="E8" s="19">
        <f t="shared" si="0"/>
        <v>648227</v>
      </c>
    </row>
    <row r="9" spans="1:8">
      <c r="A9" s="9" t="s">
        <v>62</v>
      </c>
      <c r="B9" s="2" t="str">
        <f>VLOOKUP(A9,テーブル!$M$3:$N$10,2,0)</f>
        <v>みどり屋</v>
      </c>
      <c r="C9" s="5">
        <f>SUMPRODUCT((売上データ表!$A$2:$A$25=A9)*1,売上データ表!$F$2:$F$25,売上データ表!$E$2:$E$25)</f>
        <v>633531</v>
      </c>
      <c r="D9" s="5">
        <f>ROUNDDOWN(C9*VLOOKUP(RIGHT(A9,1),テーブル!$P$3:$Q$5,2,0),0)</f>
        <v>31043</v>
      </c>
      <c r="E9" s="19">
        <f t="shared" si="0"/>
        <v>602488</v>
      </c>
      <c r="G9" s="32"/>
    </row>
    <row r="10" spans="1:8">
      <c r="A10" s="9" t="s">
        <v>64</v>
      </c>
      <c r="B10" s="2" t="str">
        <f>VLOOKUP(A10,テーブル!$M$3:$N$10,2,0)</f>
        <v>洋服専科</v>
      </c>
      <c r="C10" s="5">
        <f>SUMPRODUCT((売上データ表!$A$2:$A$25=A10)*1,売上データ表!$F$2:$F$25,売上データ表!$E$2:$E$25)</f>
        <v>726413</v>
      </c>
      <c r="D10" s="5">
        <f>ROUNDDOWN(C10*VLOOKUP(RIGHT(A10,1),テーブル!$P$3:$Q$5,2,0),0)</f>
        <v>26877</v>
      </c>
      <c r="E10" s="19">
        <f t="shared" si="0"/>
        <v>699536</v>
      </c>
    </row>
    <row r="11" spans="1:8">
      <c r="A11" s="9"/>
      <c r="B11" s="2"/>
      <c r="C11" s="5"/>
      <c r="D11" s="5"/>
      <c r="E11" s="19"/>
    </row>
    <row r="12" spans="1:8" ht="14.25" thickBot="1">
      <c r="A12" s="12"/>
      <c r="B12" s="13" t="s">
        <v>9</v>
      </c>
      <c r="C12" s="20">
        <f>SUM(C3:C10)</f>
        <v>5225727</v>
      </c>
      <c r="D12" s="20">
        <f t="shared" ref="D12:E12" si="1">SUM(D3:D10)</f>
        <v>223022</v>
      </c>
      <c r="E12" s="21">
        <f t="shared" si="1"/>
        <v>5002705</v>
      </c>
    </row>
  </sheetData>
  <mergeCells count="2">
    <mergeCell ref="A1:E1"/>
    <mergeCell ref="G1:H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仕入データ表</vt:lpstr>
      <vt:lpstr>定価計算表</vt:lpstr>
      <vt:lpstr>売上データ表</vt:lpstr>
      <vt:lpstr>請求額計算表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2022-08-17T04:08:04Z</cp:lastPrinted>
  <dcterms:created xsi:type="dcterms:W3CDTF">2019-03-28T01:49:55Z</dcterms:created>
  <dcterms:modified xsi:type="dcterms:W3CDTF">2023-01-06T08:05:12Z</dcterms:modified>
</cp:coreProperties>
</file>