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97C71552-2C11-42A0-9F1F-F4933318F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８月前期" sheetId="3" r:id="rId2"/>
    <sheet name="８月後期" sheetId="5" r:id="rId3"/>
    <sheet name="計算表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4" l="1"/>
  <c r="G6" i="4"/>
  <c r="G7" i="4"/>
  <c r="G4" i="4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" i="5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" i="3"/>
  <c r="F23" i="5"/>
  <c r="G23" i="5" s="1"/>
  <c r="F18" i="5"/>
  <c r="G18" i="5" s="1"/>
  <c r="F9" i="5"/>
  <c r="G9" i="5" s="1"/>
  <c r="F4" i="5"/>
  <c r="G4" i="5" s="1"/>
  <c r="F24" i="5"/>
  <c r="G24" i="5" s="1"/>
  <c r="F15" i="5"/>
  <c r="G15" i="5" s="1"/>
  <c r="F19" i="5"/>
  <c r="G19" i="5" s="1"/>
  <c r="F14" i="5"/>
  <c r="G14" i="5" s="1"/>
  <c r="F6" i="5"/>
  <c r="G6" i="5" s="1"/>
  <c r="F2" i="5"/>
  <c r="G2" i="5" s="1"/>
  <c r="F17" i="5"/>
  <c r="G17" i="5" s="1"/>
  <c r="F8" i="5"/>
  <c r="G8" i="5" s="1"/>
  <c r="F13" i="5"/>
  <c r="G13" i="5" s="1"/>
  <c r="F5" i="5"/>
  <c r="G5" i="5" s="1"/>
  <c r="F10" i="5"/>
  <c r="G10" i="5" s="1"/>
  <c r="F21" i="5"/>
  <c r="G21" i="5" s="1"/>
  <c r="F3" i="5"/>
  <c r="G3" i="5" s="1"/>
  <c r="F16" i="5"/>
  <c r="G16" i="5" s="1"/>
  <c r="F25" i="5"/>
  <c r="G25" i="5" s="1"/>
  <c r="F20" i="5"/>
  <c r="G20" i="5" s="1"/>
  <c r="F11" i="5"/>
  <c r="G11" i="5" s="1"/>
  <c r="F22" i="5"/>
  <c r="G22" i="5" s="1"/>
  <c r="F7" i="5"/>
  <c r="G7" i="5" s="1"/>
  <c r="F12" i="5"/>
  <c r="G12" i="5" s="1"/>
  <c r="F3" i="3"/>
  <c r="G3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" i="3"/>
  <c r="G2" i="3" s="1"/>
  <c r="K7" i="4"/>
  <c r="K5" i="4"/>
  <c r="K6" i="4"/>
  <c r="K4" i="4"/>
  <c r="H15" i="3" l="1"/>
  <c r="I15" i="3" s="1"/>
  <c r="H19" i="3"/>
  <c r="I19" i="3" s="1"/>
  <c r="H25" i="3" l="1"/>
  <c r="I25" i="3" s="1"/>
  <c r="H24" i="3"/>
  <c r="I24" i="3" s="1"/>
  <c r="H23" i="3"/>
  <c r="I23" i="3" s="1"/>
  <c r="H21" i="3"/>
  <c r="I21" i="3" s="1"/>
  <c r="H20" i="3"/>
  <c r="I20" i="3" s="1"/>
  <c r="H17" i="3"/>
  <c r="I17" i="3" s="1"/>
  <c r="H16" i="3"/>
  <c r="I16" i="3" s="1"/>
  <c r="H14" i="3"/>
  <c r="I14" i="3" s="1"/>
  <c r="H2" i="5"/>
  <c r="I2" i="5" s="1"/>
  <c r="H3" i="5"/>
  <c r="I3" i="5" s="1"/>
  <c r="H4" i="5"/>
  <c r="I4" i="5" s="1"/>
  <c r="H5" i="5"/>
  <c r="I5" i="5" s="1"/>
  <c r="H6" i="5"/>
  <c r="I6" i="5" s="1"/>
  <c r="H7" i="5"/>
  <c r="I7" i="5" s="1"/>
  <c r="H8" i="5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I25" i="5" s="1"/>
  <c r="H22" i="3"/>
  <c r="I22" i="3" s="1"/>
  <c r="H18" i="3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E27" i="5"/>
  <c r="B3" i="5"/>
  <c r="B4" i="5"/>
  <c r="B5" i="5"/>
  <c r="B6" i="5"/>
  <c r="B7" i="5"/>
  <c r="B8" i="5"/>
  <c r="B9" i="5"/>
  <c r="B10" i="5"/>
  <c r="B11" i="5"/>
  <c r="B12" i="5"/>
  <c r="B2" i="5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" i="3"/>
  <c r="I18" i="3" l="1"/>
  <c r="H13" i="3"/>
  <c r="I13" i="3" s="1"/>
  <c r="E27" i="3"/>
  <c r="M6" i="4"/>
  <c r="L7" i="4"/>
  <c r="L4" i="4"/>
  <c r="M4" i="4"/>
  <c r="L5" i="4"/>
  <c r="L6" i="4"/>
  <c r="M7" i="4"/>
  <c r="M5" i="4"/>
  <c r="H8" i="3" l="1"/>
  <c r="I8" i="3" s="1"/>
  <c r="H4" i="3"/>
  <c r="I4" i="3" s="1"/>
  <c r="H3" i="3"/>
  <c r="I3" i="3" s="1"/>
  <c r="H6" i="3"/>
  <c r="I6" i="3" s="1"/>
  <c r="K9" i="4"/>
  <c r="L9" i="4"/>
  <c r="M9" i="4"/>
  <c r="H12" i="3"/>
  <c r="I12" i="3" s="1"/>
  <c r="H10" i="3"/>
  <c r="I10" i="3" s="1"/>
  <c r="H2" i="3"/>
  <c r="I2" i="3" s="1"/>
  <c r="H7" i="3"/>
  <c r="I7" i="3" s="1"/>
  <c r="B8" i="4" l="1"/>
  <c r="B6" i="4"/>
  <c r="B7" i="4"/>
  <c r="B5" i="4"/>
  <c r="D7" i="4"/>
  <c r="C7" i="4"/>
  <c r="D6" i="4"/>
  <c r="C6" i="4"/>
  <c r="D8" i="4"/>
  <c r="C8" i="4"/>
  <c r="B4" i="4"/>
  <c r="B3" i="4"/>
  <c r="H9" i="3"/>
  <c r="I9" i="3" s="1"/>
  <c r="H11" i="3"/>
  <c r="I11" i="3" s="1"/>
  <c r="G27" i="5"/>
  <c r="G27" i="3"/>
  <c r="C5" i="4"/>
  <c r="D4" i="4"/>
  <c r="H5" i="3"/>
  <c r="I5" i="3" s="1"/>
  <c r="H7" i="4"/>
  <c r="I4" i="4"/>
  <c r="J6" i="4"/>
  <c r="J4" i="4"/>
  <c r="H6" i="4"/>
  <c r="H4" i="4"/>
  <c r="I6" i="4"/>
  <c r="H5" i="4"/>
  <c r="B10" i="4" l="1"/>
  <c r="P4" i="4"/>
  <c r="N7" i="4"/>
  <c r="N5" i="4"/>
  <c r="N4" i="4"/>
  <c r="N6" i="4"/>
  <c r="H9" i="4"/>
  <c r="O4" i="4"/>
  <c r="O6" i="4"/>
  <c r="P6" i="4"/>
  <c r="H27" i="5"/>
  <c r="I27" i="5"/>
  <c r="C4" i="4"/>
  <c r="C3" i="4"/>
  <c r="H27" i="3"/>
  <c r="I7" i="4"/>
  <c r="I5" i="4"/>
  <c r="J5" i="4"/>
  <c r="Q6" i="4" l="1"/>
  <c r="R6" i="4"/>
  <c r="S6" i="4" s="1"/>
  <c r="Q4" i="4"/>
  <c r="R4" i="4"/>
  <c r="S4" i="4" s="1"/>
  <c r="O7" i="4"/>
  <c r="I9" i="4"/>
  <c r="O5" i="4"/>
  <c r="D5" i="4"/>
  <c r="N9" i="4"/>
  <c r="P5" i="4"/>
  <c r="I27" i="3"/>
  <c r="C10" i="4"/>
  <c r="D3" i="4"/>
  <c r="J7" i="4"/>
  <c r="R5" i="4" l="1"/>
  <c r="S5" i="4" s="1"/>
  <c r="T6" i="4"/>
  <c r="T4" i="4"/>
  <c r="Q7" i="4"/>
  <c r="T7" i="4" s="1"/>
  <c r="R7" i="4"/>
  <c r="Q5" i="4"/>
  <c r="T5" i="4" s="1"/>
  <c r="D10" i="4"/>
  <c r="O9" i="4"/>
  <c r="P7" i="4"/>
  <c r="P9" i="4" s="1"/>
  <c r="J9" i="4"/>
  <c r="S7" i="4" l="1"/>
  <c r="S9" i="4" s="1"/>
  <c r="R9" i="4"/>
</calcChain>
</file>

<file path=xl/sharedStrings.xml><?xml version="1.0" encoding="utf-8"?>
<sst xmlns="http://schemas.openxmlformats.org/spreadsheetml/2006/main" count="93" uniqueCount="40">
  <si>
    <t>合　計</t>
    <rPh sb="0" eb="1">
      <t>ア</t>
    </rPh>
    <rPh sb="2" eb="3">
      <t>ケイ</t>
    </rPh>
    <phoneticPr fontId="5"/>
  </si>
  <si>
    <t>合　計</t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</si>
  <si>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</si>
  <si>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</si>
  <si>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</si>
  <si>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原価</t>
    <rPh sb="0" eb="2">
      <t>ゲンカ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</si>
  <si>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</si>
  <si>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</si>
  <si>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</si>
  <si>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</si>
  <si>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</si>
  <si>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</si>
  <si>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</si>
  <si>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</si>
  <si>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商品別集計表</t>
    <rPh sb="0" eb="2">
      <t>ショウヒン</t>
    </rPh>
    <rPh sb="2" eb="3">
      <t>ベツ</t>
    </rPh>
    <rPh sb="3" eb="5">
      <t>シュウケイ</t>
    </rPh>
    <rPh sb="5" eb="6">
      <t>オモテ</t>
    </rPh>
    <phoneticPr fontId="2"/>
  </si>
  <si>
    <t>請求額</t>
    <rPh sb="0" eb="2">
      <t>セイキュウ</t>
    </rPh>
    <rPh sb="2" eb="3">
      <t>ガク</t>
    </rPh>
    <phoneticPr fontId="2"/>
  </si>
  <si>
    <t>割引額</t>
    <rPh sb="0" eb="2">
      <t>ワリビキ</t>
    </rPh>
    <rPh sb="2" eb="3">
      <t>ガク</t>
    </rPh>
    <phoneticPr fontId="2"/>
  </si>
  <si>
    <t>割引率</t>
    <rPh sb="0" eb="2">
      <t>ワリビキ</t>
    </rPh>
    <rPh sb="2" eb="3">
      <t>リツ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</si>
  <si>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</si>
  <si>
    <t>８月前期</t>
    <rPh sb="1" eb="2">
      <t>ガツ</t>
    </rPh>
    <rPh sb="2" eb="4">
      <t>ゼンキ</t>
    </rPh>
    <phoneticPr fontId="2"/>
  </si>
  <si>
    <t>８月後期</t>
    <rPh sb="1" eb="2">
      <t>ガツ</t>
    </rPh>
    <rPh sb="2" eb="4">
      <t>コウキ</t>
    </rPh>
    <phoneticPr fontId="2"/>
  </si>
  <si>
    <t>８月全期間</t>
    <rPh sb="1" eb="2">
      <t>ガツ</t>
    </rPh>
    <rPh sb="2" eb="5">
      <t>ゼンキカン</t>
    </rPh>
    <phoneticPr fontId="2"/>
  </si>
  <si>
    <t>販売額</t>
    <rPh sb="0" eb="3">
      <t>ハンバイガク</t>
    </rPh>
    <phoneticPr fontId="2"/>
  </si>
  <si>
    <t>前月比</t>
    <rPh sb="0" eb="3">
      <t>ゼンゲツヒ</t>
    </rPh>
    <phoneticPr fontId="2"/>
  </si>
  <si>
    <t>前月販売額</t>
    <rPh sb="0" eb="2">
      <t>ゼンゲツ</t>
    </rPh>
    <rPh sb="2" eb="5">
      <t>ハンバイガク</t>
    </rPh>
    <phoneticPr fontId="2"/>
  </si>
  <si>
    <t>Ｐ商品</t>
    <rPh sb="1" eb="3">
      <t>ショウヒン</t>
    </rPh>
    <phoneticPr fontId="2"/>
  </si>
  <si>
    <t>Ｑ商品</t>
    <rPh sb="1" eb="3">
      <t>ショウヒン</t>
    </rPh>
    <phoneticPr fontId="2"/>
  </si>
  <si>
    <t>Ｒ商品</t>
    <rPh sb="1" eb="3">
      <t>ショウヒン</t>
    </rPh>
    <phoneticPr fontId="2"/>
  </si>
  <si>
    <t>Ｘ商品</t>
    <rPh sb="1" eb="3">
      <t>ショウヒン</t>
    </rPh>
    <phoneticPr fontId="2"/>
  </si>
  <si>
    <t>Ｙ商品</t>
    <rPh sb="1" eb="3">
      <t>ショウヒン</t>
    </rPh>
    <phoneticPr fontId="2"/>
  </si>
  <si>
    <t>Ｚ商品</t>
    <rPh sb="1" eb="3">
      <t>ショウヒン</t>
    </rPh>
    <phoneticPr fontId="2"/>
  </si>
  <si>
    <t>見込利益率</t>
    <rPh sb="0" eb="2">
      <t>ミコミ</t>
    </rPh>
    <rPh sb="2" eb="4">
      <t>リエキ</t>
    </rPh>
    <rPh sb="4" eb="5">
      <t>リツ</t>
    </rPh>
    <phoneticPr fontId="2"/>
  </si>
  <si>
    <t>＜見込利益率表＞</t>
    <rPh sb="1" eb="3">
      <t>ミコミ</t>
    </rPh>
    <rPh sb="3" eb="5">
      <t>リエキ</t>
    </rPh>
    <rPh sb="5" eb="6">
      <t>リツ</t>
    </rPh>
    <rPh sb="6" eb="7">
      <t>ヒョウ</t>
    </rPh>
    <phoneticPr fontId="2"/>
  </si>
  <si>
    <t>佐々木電機</t>
    <rPh sb="0" eb="3">
      <t>ササキ</t>
    </rPh>
    <rPh sb="3" eb="5">
      <t>デンキ</t>
    </rPh>
    <phoneticPr fontId="2"/>
  </si>
  <si>
    <t>ＡＫＩＢＡ</t>
    <phoneticPr fontId="2"/>
  </si>
  <si>
    <t>共栄百貨店</t>
    <rPh sb="0" eb="2">
      <t>キョウエイ</t>
    </rPh>
    <rPh sb="2" eb="5">
      <t>ヒャッカテン</t>
    </rPh>
    <phoneticPr fontId="2"/>
  </si>
  <si>
    <t>電気天国堂</t>
    <rPh sb="0" eb="2">
      <t>デンキ</t>
    </rPh>
    <rPh sb="2" eb="4">
      <t>テンゴク</t>
    </rPh>
    <rPh sb="4" eb="5">
      <t>ドウ</t>
    </rPh>
    <phoneticPr fontId="2"/>
  </si>
  <si>
    <t>経費</t>
    <phoneticPr fontId="2"/>
  </si>
  <si>
    <t>経費</t>
    <rPh sb="0" eb="2">
      <t>ケイヒ</t>
    </rPh>
    <phoneticPr fontId="2"/>
  </si>
  <si>
    <t>＜経費率表＞</t>
    <rPh sb="1" eb="3">
      <t>ケイヒ</t>
    </rPh>
    <rPh sb="3" eb="4">
      <t>リツ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</si>
</sst>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4" xfId="2" applyFont="1" applyBorder="1">
      <alignment vertical="center"/>
    </xf>
    <xf numFmtId="38" fontId="4" fillId="0" borderId="2" xfId="2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6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0" fillId="0" borderId="8" xfId="0" applyBorder="1">
      <alignment vertical="center"/>
    </xf>
    <xf numFmtId="0" fontId="7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4" fillId="0" borderId="2" xfId="0" applyNumberFormat="1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6" fillId="0" borderId="2" xfId="0" applyNumberFormat="1" applyFont="1" applyBorder="1" applyAlignment="1">
      <alignment horizontal="right" vertical="center"/>
    </xf>
    <xf numFmtId="38" fontId="6" fillId="0" borderId="2" xfId="2" applyFont="1" applyFill="1" applyBorder="1">
      <alignment vertical="center"/>
    </xf>
    <xf numFmtId="38" fontId="4" fillId="0" borderId="2" xfId="2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>
      <alignment vertical="center"/>
    </xf>
    <xf numFmtId="38" fontId="4" fillId="0" borderId="6" xfId="2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0" fillId="0" borderId="4" xfId="2" applyFont="1" applyBorder="1">
      <alignment vertical="center"/>
    </xf>
    <xf numFmtId="38" fontId="0" fillId="0" borderId="2" xfId="2" applyFont="1" applyBorder="1">
      <alignment vertical="center"/>
    </xf>
    <xf numFmtId="176" fontId="4" fillId="0" borderId="0" xfId="0" applyNumberFormat="1" applyFont="1">
      <alignment vertical="center"/>
    </xf>
    <xf numFmtId="176" fontId="6" fillId="0" borderId="2" xfId="1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38" fontId="6" fillId="0" borderId="2" xfId="0" applyNumberFormat="1" applyFont="1" applyBorder="1">
      <alignment vertical="center"/>
    </xf>
    <xf numFmtId="3" fontId="6" fillId="0" borderId="2" xfId="0" applyNumberFormat="1" applyFont="1" applyBorder="1">
      <alignment vertical="center"/>
    </xf>
    <xf numFmtId="9" fontId="4" fillId="0" borderId="2" xfId="1" applyFon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38" fontId="6" fillId="0" borderId="4" xfId="2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1" fillId="0" borderId="17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7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８月全期間の販売数と請求額の比較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計算表!$S$3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計算表!$G$4:$G$7</c:f>
              <c:strCache>
                <c:ptCount val="4"/>
                <c:pt idx="0">
                  <c:v>共栄百貨店</c:v>
                </c:pt>
                <c:pt idx="1">
                  <c:v>ＡＫＩＢＡ</c:v>
                </c:pt>
                <c:pt idx="2">
                  <c:v>佐々木電機</c:v>
                </c:pt>
                <c:pt idx="3">
                  <c:v>電気天国堂</c:v>
                </c:pt>
              </c:strCache>
            </c:strRef>
          </c:cat>
          <c:val>
            <c:numRef>
              <c:f>計算表!$S$4:$S$7</c:f>
              <c:numCache>
                <c:formatCode>#,##0_);[Red]\(#,##0\)</c:formatCode>
                <c:ptCount val="4"/>
                <c:pt idx="0">
                  <c:v>4114934</c:v>
                </c:pt>
                <c:pt idx="1">
                  <c:v>3887692</c:v>
                </c:pt>
                <c:pt idx="2">
                  <c:v>3711157</c:v>
                </c:pt>
                <c:pt idx="3">
                  <c:v>3536023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計算表!$N$3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計算表!$G$4:$G$7</c:f>
              <c:strCache>
                <c:ptCount val="4"/>
                <c:pt idx="0">
                  <c:v>共栄百貨店</c:v>
                </c:pt>
                <c:pt idx="1">
                  <c:v>ＡＫＩＢＡ</c:v>
                </c:pt>
                <c:pt idx="2">
                  <c:v>佐々木電機</c:v>
                </c:pt>
                <c:pt idx="3">
                  <c:v>電気天国堂</c:v>
                </c:pt>
              </c:strCache>
            </c:strRef>
          </c:cat>
          <c:val>
            <c:numRef>
              <c:f>計算表!$N$4:$N$7</c:f>
              <c:numCache>
                <c:formatCode>#,##0_);[Red]\(#,##0\)</c:formatCode>
                <c:ptCount val="4"/>
                <c:pt idx="0">
                  <c:v>1681</c:v>
                </c:pt>
                <c:pt idx="1">
                  <c:v>1658</c:v>
                </c:pt>
                <c:pt idx="2">
                  <c:v>1546</c:v>
                </c:pt>
                <c:pt idx="3">
                  <c:v>1441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>
      <c:oddHeader>&amp;A</c:oddHeader>
      <c:oddFooter>Page &amp;P</c:oddFooter>
    </c:headerFooter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89367</xdr:colOff>
      <xdr:row>16</xdr:row>
      <xdr:rowOff>64995</xdr:rowOff>
    </xdr:from>
    <xdr:to>
      <xdr:col>20</xdr:col>
      <xdr:colOff>214592</xdr:colOff>
      <xdr:row>35</xdr:row>
      <xdr:rowOff>42023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4.875" style="1" customWidth="1"/>
    <col min="5" max="5" width="7.5" style="1" customWidth="1"/>
    <col min="6" max="6" width="11.625" style="1" bestFit="1" customWidth="1"/>
    <col min="7" max="7" width="11.625" style="1" customWidth="1"/>
    <col min="8" max="8" width="7.5" style="1" bestFit="1" customWidth="1"/>
    <col min="9" max="9" width="4.875" style="1" customWidth="1"/>
    <col min="10" max="10" width="7.5" style="1" bestFit="1" customWidth="1"/>
    <col min="11" max="11" width="11.625" style="1" bestFit="1" customWidth="1"/>
    <col min="12" max="12" width="4.875" style="1" customWidth="1"/>
    <col min="13" max="13" width="8.5" style="1" customWidth="1"/>
    <col min="14" max="18" width="5.5" style="1" bestFit="1" customWidth="1"/>
    <col min="19" max="16384" width="9" style="1"/>
  </cols>
  <sheetData>
    <row r="1" spans="1:19">
      <c r="A1" t="s">
        <v>2</v>
      </c>
      <c r="E1" t="s">
        <v>6</v>
      </c>
      <c r="J1" t="s">
        <v>32</v>
      </c>
      <c r="M1" t="s">
        <v>39</v>
      </c>
    </row>
    <row r="2" spans="1:19">
      <c r="A2" s="14" t="s">
        <v>3</v>
      </c>
      <c r="B2" s="14" t="s">
        <v>4</v>
      </c>
      <c r="C2" s="14" t="s">
        <v>5</v>
      </c>
      <c r="E2" s="14" t="s">
        <v>7</v>
      </c>
      <c r="F2" s="14" t="s">
        <v>8</v>
      </c>
      <c r="G2" s="24" t="s">
        <v>24</v>
      </c>
      <c r="H2" s="24" t="s">
        <v>17</v>
      </c>
      <c r="J2" s="2" t="s">
        <v>9</v>
      </c>
      <c r="K2" s="14" t="s">
        <v>31</v>
      </c>
      <c r="M2" s="59" t="s">
        <v>22</v>
      </c>
      <c r="N2" s="59" t="s">
        <v>9</v>
      </c>
      <c r="O2" s="59"/>
      <c r="P2" s="59"/>
      <c r="Q2" s="59"/>
      <c r="R2" s="59"/>
    </row>
    <row r="3" spans="1:19">
      <c r="A3" s="4">
        <v>11</v>
      </c>
      <c r="B3" s="15" t="s">
        <v>25</v>
      </c>
      <c r="C3" s="6">
        <v>1789</v>
      </c>
      <c r="E3" s="4">
        <v>101</v>
      </c>
      <c r="F3" s="28" t="s">
        <v>33</v>
      </c>
      <c r="G3" s="44">
        <v>3517000</v>
      </c>
      <c r="H3" s="41">
        <v>4.9000000000000002E-2</v>
      </c>
      <c r="J3" s="28">
        <v>1</v>
      </c>
      <c r="K3" s="23">
        <v>0.28000000000000003</v>
      </c>
      <c r="M3" s="59"/>
      <c r="N3" s="28">
        <v>1</v>
      </c>
      <c r="O3" s="28">
        <v>80</v>
      </c>
      <c r="P3" s="28">
        <v>120</v>
      </c>
      <c r="Q3" s="28">
        <v>150</v>
      </c>
      <c r="R3" s="28">
        <v>180</v>
      </c>
    </row>
    <row r="4" spans="1:19">
      <c r="A4" s="4">
        <v>12</v>
      </c>
      <c r="B4" s="15" t="s">
        <v>26</v>
      </c>
      <c r="C4" s="6">
        <v>2537</v>
      </c>
      <c r="E4" s="4">
        <v>102</v>
      </c>
      <c r="F4" s="28" t="s">
        <v>36</v>
      </c>
      <c r="G4" s="44">
        <v>3798000</v>
      </c>
      <c r="H4" s="41">
        <v>4.5999999999999999E-2</v>
      </c>
      <c r="J4" s="28">
        <v>100</v>
      </c>
      <c r="K4" s="23">
        <v>0.26</v>
      </c>
      <c r="M4" s="39">
        <v>1</v>
      </c>
      <c r="N4" s="42">
        <v>5.2999999999999992E-2</v>
      </c>
      <c r="O4" s="42">
        <v>5.4999999999999993E-2</v>
      </c>
      <c r="P4" s="42">
        <v>5.6999999999999995E-2</v>
      </c>
      <c r="Q4" s="42">
        <v>5.8999999999999997E-2</v>
      </c>
      <c r="R4" s="42">
        <v>6.0999999999999999E-2</v>
      </c>
      <c r="S4" s="40"/>
    </row>
    <row r="5" spans="1:19">
      <c r="A5" s="4">
        <v>13</v>
      </c>
      <c r="B5" s="15" t="s">
        <v>27</v>
      </c>
      <c r="C5" s="6">
        <v>1953</v>
      </c>
      <c r="E5" s="4">
        <v>103</v>
      </c>
      <c r="F5" s="28" t="s">
        <v>35</v>
      </c>
      <c r="G5" s="44">
        <v>3875000</v>
      </c>
      <c r="H5" s="41">
        <v>4.1000000000000002E-2</v>
      </c>
      <c r="J5" s="28">
        <v>160</v>
      </c>
      <c r="K5" s="23">
        <v>0.24</v>
      </c>
      <c r="M5" s="39">
        <v>200000</v>
      </c>
      <c r="N5" s="42">
        <v>4.5999999999999999E-2</v>
      </c>
      <c r="O5" s="42">
        <v>4.8000000000000001E-2</v>
      </c>
      <c r="P5" s="42">
        <v>0.05</v>
      </c>
      <c r="Q5" s="42">
        <v>5.1999999999999991E-2</v>
      </c>
      <c r="R5" s="42">
        <v>5.3999999999999992E-2</v>
      </c>
      <c r="S5" s="40"/>
    </row>
    <row r="6" spans="1:19">
      <c r="A6" s="4">
        <v>14</v>
      </c>
      <c r="B6" s="15" t="s">
        <v>28</v>
      </c>
      <c r="C6" s="6">
        <v>2316</v>
      </c>
      <c r="E6" s="4">
        <v>104</v>
      </c>
      <c r="F6" s="28" t="s">
        <v>34</v>
      </c>
      <c r="G6" s="44">
        <v>4139000</v>
      </c>
      <c r="H6" s="41">
        <v>5.1000000000000004E-2</v>
      </c>
      <c r="M6" s="39">
        <v>300000</v>
      </c>
      <c r="N6" s="42">
        <v>3.8999999999999993E-2</v>
      </c>
      <c r="O6" s="42">
        <v>4.0999999999999995E-2</v>
      </c>
      <c r="P6" s="42">
        <v>4.2999999999999997E-2</v>
      </c>
      <c r="Q6" s="42">
        <v>4.4999999999999998E-2</v>
      </c>
      <c r="R6" s="42">
        <v>4.7E-2</v>
      </c>
      <c r="S6" s="40"/>
    </row>
    <row r="7" spans="1:19">
      <c r="A7" s="4">
        <v>15</v>
      </c>
      <c r="B7" s="15" t="s">
        <v>29</v>
      </c>
      <c r="C7" s="6">
        <v>1892</v>
      </c>
      <c r="M7" s="39">
        <v>400000</v>
      </c>
      <c r="N7" s="42">
        <v>3.2000000000000001E-2</v>
      </c>
      <c r="O7" s="42">
        <v>3.4000000000000002E-2</v>
      </c>
      <c r="P7" s="42">
        <v>3.6000000000000004E-2</v>
      </c>
      <c r="Q7" s="42">
        <v>3.8000000000000006E-2</v>
      </c>
      <c r="R7" s="42">
        <v>3.9999999999999994E-2</v>
      </c>
      <c r="S7" s="40"/>
    </row>
    <row r="8" spans="1:19">
      <c r="A8" s="4">
        <v>16</v>
      </c>
      <c r="B8" s="15" t="s">
        <v>30</v>
      </c>
      <c r="C8" s="6">
        <v>2138</v>
      </c>
    </row>
    <row r="9" spans="1:19">
      <c r="H9" s="25"/>
    </row>
  </sheetData>
  <sortState xmlns:xlrd2="http://schemas.microsoft.com/office/spreadsheetml/2017/richdata2" ref="K8:K10">
    <sortCondition ref="K8:K10"/>
  </sortState>
  <mergeCells count="2">
    <mergeCell ref="M2:M3"/>
    <mergeCell ref="N2:R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8" width="10.5" style="1" bestFit="1" customWidth="1"/>
    <col min="9" max="9" width="8.5" style="1" bestFit="1" customWidth="1"/>
    <col min="10" max="16384" width="9" style="1"/>
  </cols>
  <sheetData>
    <row r="1" spans="1:10">
      <c r="A1" s="12" t="s">
        <v>3</v>
      </c>
      <c r="B1" s="29" t="s">
        <v>4</v>
      </c>
      <c r="C1" s="29" t="s">
        <v>7</v>
      </c>
      <c r="D1" s="29" t="s">
        <v>8</v>
      </c>
      <c r="E1" s="29" t="s">
        <v>9</v>
      </c>
      <c r="F1" s="29" t="s">
        <v>12</v>
      </c>
      <c r="G1" s="29" t="s">
        <v>11</v>
      </c>
      <c r="H1" s="29" t="s">
        <v>10</v>
      </c>
      <c r="I1" s="30" t="s">
        <v>38</v>
      </c>
    </row>
    <row r="2" spans="1:10">
      <c r="A2" s="3">
        <v>11</v>
      </c>
      <c r="B2" s="15" t="str">
        <f>VLOOKUP(A2,テーブル!$A$3:$C$8,2,0)</f>
        <v>Ｐ商品</v>
      </c>
      <c r="C2" s="4">
        <v>101</v>
      </c>
      <c r="D2" s="4" t="str">
        <f>VLOOKUP(C2,テーブル!$E$3:$H$6,2,0)</f>
        <v>佐々木電機</v>
      </c>
      <c r="E2" s="43">
        <v>120</v>
      </c>
      <c r="F2" s="31">
        <f>ROUNDDOWN(VLOOKUP(A2,テーブル!$A$3:$C$8,3,0)*(1+VLOOKUP(E2,テーブル!$J$3:$K$5,2,1)),-1)</f>
        <v>2250</v>
      </c>
      <c r="G2" s="32">
        <f t="shared" ref="G2:G25" si="0">ROUNDUP(IF(OR(E2&gt;=180,F2&gt;=2900),F2*E2*8.4%,F2*E2*7.2%),-1)</f>
        <v>19440</v>
      </c>
      <c r="H2" s="32">
        <f t="shared" ref="H2:H25" si="1">F2*E2-G2</f>
        <v>250560</v>
      </c>
      <c r="I2" s="38">
        <f>ROUNDUP(H2*INDEX(テーブル!$N$4:$R$7,MATCH(H2,テーブル!$M$4:$M$7,1),MATCH(E2,テーブル!$N$3:$R$3,1)),0)</f>
        <v>12528</v>
      </c>
      <c r="J2" s="18"/>
    </row>
    <row r="3" spans="1:10">
      <c r="A3" s="3">
        <v>11</v>
      </c>
      <c r="B3" s="15" t="str">
        <f>VLOOKUP(A3,テーブル!$A$3:$C$8,2,0)</f>
        <v>Ｐ商品</v>
      </c>
      <c r="C3" s="4">
        <v>102</v>
      </c>
      <c r="D3" s="4" t="str">
        <f>VLOOKUP(C3,テーブル!$E$3:$H$6,2,0)</f>
        <v>電気天国堂</v>
      </c>
      <c r="E3" s="43">
        <v>87</v>
      </c>
      <c r="F3" s="31">
        <f>ROUNDDOWN(VLOOKUP(A3,テーブル!$A$3:$C$8,3,0)*(1+VLOOKUP(E3,テーブル!$J$3:$K$5,2,1)),-1)</f>
        <v>2280</v>
      </c>
      <c r="G3" s="32">
        <f t="shared" si="0"/>
        <v>14290</v>
      </c>
      <c r="H3" s="32">
        <f t="shared" si="1"/>
        <v>184070</v>
      </c>
      <c r="I3" s="38">
        <f>ROUNDUP(H3*INDEX(テーブル!$N$4:$R$7,MATCH(H3,テーブル!$M$4:$M$7,1),MATCH(E3,テーブル!$N$3:$R$3,1)),0)</f>
        <v>10124</v>
      </c>
      <c r="J3" s="18"/>
    </row>
    <row r="4" spans="1:10">
      <c r="A4" s="3">
        <v>11</v>
      </c>
      <c r="B4" s="15" t="str">
        <f>VLOOKUP(A4,テーブル!$A$3:$C$8,2,0)</f>
        <v>Ｐ商品</v>
      </c>
      <c r="C4" s="4">
        <v>103</v>
      </c>
      <c r="D4" s="4" t="str">
        <f>VLOOKUP(C4,テーブル!$E$3:$H$6,2,0)</f>
        <v>共栄百貨店</v>
      </c>
      <c r="E4" s="43">
        <v>180</v>
      </c>
      <c r="F4" s="31">
        <f>ROUNDDOWN(VLOOKUP(A4,テーブル!$A$3:$C$8,3,0)*(1+VLOOKUP(E4,テーブル!$J$3:$K$5,2,1)),-1)</f>
        <v>2210</v>
      </c>
      <c r="G4" s="32">
        <f t="shared" si="0"/>
        <v>33420</v>
      </c>
      <c r="H4" s="33">
        <f t="shared" si="1"/>
        <v>364380</v>
      </c>
      <c r="I4" s="38">
        <f>ROUNDUP(H4*INDEX(テーブル!$N$4:$R$7,MATCH(H4,テーブル!$M$4:$M$7,1),MATCH(E4,テーブル!$N$3:$R$3,1)),0)</f>
        <v>17126</v>
      </c>
      <c r="J4" s="18"/>
    </row>
    <row r="5" spans="1:10">
      <c r="A5" s="3">
        <v>11</v>
      </c>
      <c r="B5" s="15" t="str">
        <f>VLOOKUP(A5,テーブル!$A$3:$C$8,2,0)</f>
        <v>Ｐ商品</v>
      </c>
      <c r="C5" s="4">
        <v>104</v>
      </c>
      <c r="D5" s="4" t="str">
        <f>VLOOKUP(C5,テーブル!$E$3:$H$6,2,0)</f>
        <v>ＡＫＩＢＡ</v>
      </c>
      <c r="E5" s="43">
        <v>150</v>
      </c>
      <c r="F5" s="31">
        <f>ROUNDDOWN(VLOOKUP(A5,テーブル!$A$3:$C$8,3,0)*(1+VLOOKUP(E5,テーブル!$J$3:$K$5,2,1)),-1)</f>
        <v>2250</v>
      </c>
      <c r="G5" s="32">
        <f t="shared" si="0"/>
        <v>24300</v>
      </c>
      <c r="H5" s="32">
        <f t="shared" si="1"/>
        <v>313200</v>
      </c>
      <c r="I5" s="38">
        <f>ROUNDUP(H5*INDEX(テーブル!$N$4:$R$7,MATCH(H5,テーブル!$M$4:$M$7,1),MATCH(E5,テーブル!$N$3:$R$3,1)),0)</f>
        <v>14094</v>
      </c>
      <c r="J5" s="18"/>
    </row>
    <row r="6" spans="1:10">
      <c r="A6" s="3">
        <v>12</v>
      </c>
      <c r="B6" s="15" t="str">
        <f>VLOOKUP(A6,テーブル!$A$3:$C$8,2,0)</f>
        <v>Ｑ商品</v>
      </c>
      <c r="C6" s="4">
        <v>101</v>
      </c>
      <c r="D6" s="4" t="str">
        <f>VLOOKUP(C6,テーブル!$E$3:$H$6,2,0)</f>
        <v>佐々木電機</v>
      </c>
      <c r="E6" s="43">
        <v>76</v>
      </c>
      <c r="F6" s="31">
        <f>ROUNDDOWN(VLOOKUP(A6,テーブル!$A$3:$C$8,3,0)*(1+VLOOKUP(E6,テーブル!$J$3:$K$5,2,1)),-1)</f>
        <v>3240</v>
      </c>
      <c r="G6" s="32">
        <f t="shared" si="0"/>
        <v>20690</v>
      </c>
      <c r="H6" s="32">
        <f t="shared" si="1"/>
        <v>225550</v>
      </c>
      <c r="I6" s="38">
        <f>ROUNDUP(H6*INDEX(テーブル!$N$4:$R$7,MATCH(H6,テーブル!$M$4:$M$7,1),MATCH(E6,テーブル!$N$3:$R$3,1)),0)</f>
        <v>10376</v>
      </c>
      <c r="J6" s="18"/>
    </row>
    <row r="7" spans="1:10">
      <c r="A7" s="3">
        <v>12</v>
      </c>
      <c r="B7" s="15" t="str">
        <f>VLOOKUP(A7,テーブル!$A$3:$C$8,2,0)</f>
        <v>Ｑ商品</v>
      </c>
      <c r="C7" s="4">
        <v>102</v>
      </c>
      <c r="D7" s="4" t="str">
        <f>VLOOKUP(C7,テーブル!$E$3:$H$6,2,0)</f>
        <v>電気天国堂</v>
      </c>
      <c r="E7" s="43">
        <v>130</v>
      </c>
      <c r="F7" s="31">
        <f>ROUNDDOWN(VLOOKUP(A7,テーブル!$A$3:$C$8,3,0)*(1+VLOOKUP(E7,テーブル!$J$3:$K$5,2,1)),-1)</f>
        <v>3190</v>
      </c>
      <c r="G7" s="32">
        <f t="shared" si="0"/>
        <v>34840</v>
      </c>
      <c r="H7" s="32">
        <f t="shared" si="1"/>
        <v>379860</v>
      </c>
      <c r="I7" s="38">
        <f>ROUNDUP(H7*INDEX(テーブル!$N$4:$R$7,MATCH(H7,テーブル!$M$4:$M$7,1),MATCH(E7,テーブル!$N$3:$R$3,1)),0)</f>
        <v>16334</v>
      </c>
      <c r="J7" s="18"/>
    </row>
    <row r="8" spans="1:10">
      <c r="A8" s="3">
        <v>12</v>
      </c>
      <c r="B8" s="15" t="str">
        <f>VLOOKUP(A8,テーブル!$A$3:$C$8,2,0)</f>
        <v>Ｑ商品</v>
      </c>
      <c r="C8" s="4">
        <v>103</v>
      </c>
      <c r="D8" s="4" t="str">
        <f>VLOOKUP(C8,テーブル!$E$3:$H$6,2,0)</f>
        <v>共栄百貨店</v>
      </c>
      <c r="E8" s="43">
        <v>195</v>
      </c>
      <c r="F8" s="31">
        <f>ROUNDDOWN(VLOOKUP(A8,テーブル!$A$3:$C$8,3,0)*(1+VLOOKUP(E8,テーブル!$J$3:$K$5,2,1)),-1)</f>
        <v>3140</v>
      </c>
      <c r="G8" s="32">
        <f t="shared" si="0"/>
        <v>51440</v>
      </c>
      <c r="H8" s="33">
        <f t="shared" si="1"/>
        <v>560860</v>
      </c>
      <c r="I8" s="38">
        <f>ROUNDUP(H8*INDEX(テーブル!$N$4:$R$7,MATCH(H8,テーブル!$M$4:$M$7,1),MATCH(E8,テーブル!$N$3:$R$3,1)),0)</f>
        <v>22435</v>
      </c>
      <c r="J8" s="18"/>
    </row>
    <row r="9" spans="1:10">
      <c r="A9" s="3">
        <v>12</v>
      </c>
      <c r="B9" s="15" t="str">
        <f>VLOOKUP(A9,テーブル!$A$3:$C$8,2,0)</f>
        <v>Ｑ商品</v>
      </c>
      <c r="C9" s="4">
        <v>104</v>
      </c>
      <c r="D9" s="4" t="str">
        <f>VLOOKUP(C9,テーブル!$E$3:$H$6,2,0)</f>
        <v>ＡＫＩＢＡ</v>
      </c>
      <c r="E9" s="43">
        <v>64</v>
      </c>
      <c r="F9" s="31">
        <f>ROUNDDOWN(VLOOKUP(A9,テーブル!$A$3:$C$8,3,0)*(1+VLOOKUP(E9,テーブル!$J$3:$K$5,2,1)),-1)</f>
        <v>3240</v>
      </c>
      <c r="G9" s="32">
        <f t="shared" si="0"/>
        <v>17420</v>
      </c>
      <c r="H9" s="32">
        <f t="shared" si="1"/>
        <v>189940</v>
      </c>
      <c r="I9" s="38">
        <f>ROUNDUP(H9*INDEX(テーブル!$N$4:$R$7,MATCH(H9,テーブル!$M$4:$M$7,1),MATCH(E9,テーブル!$N$3:$R$3,1)),0)</f>
        <v>10067</v>
      </c>
      <c r="J9" s="18"/>
    </row>
    <row r="10" spans="1:10">
      <c r="A10" s="3">
        <v>13</v>
      </c>
      <c r="B10" s="15" t="str">
        <f>VLOOKUP(A10,テーブル!$A$3:$C$8,2,0)</f>
        <v>Ｒ商品</v>
      </c>
      <c r="C10" s="4">
        <v>101</v>
      </c>
      <c r="D10" s="4" t="str">
        <f>VLOOKUP(C10,テーブル!$E$3:$H$6,2,0)</f>
        <v>佐々木電機</v>
      </c>
      <c r="E10" s="43">
        <v>206</v>
      </c>
      <c r="F10" s="31">
        <f>ROUNDDOWN(VLOOKUP(A10,テーブル!$A$3:$C$8,3,0)*(1+VLOOKUP(E10,テーブル!$J$3:$K$5,2,1)),-1)</f>
        <v>2420</v>
      </c>
      <c r="G10" s="32">
        <f t="shared" si="0"/>
        <v>41880</v>
      </c>
      <c r="H10" s="33">
        <f t="shared" si="1"/>
        <v>456640</v>
      </c>
      <c r="I10" s="38">
        <f>ROUNDUP(H10*INDEX(テーブル!$N$4:$R$7,MATCH(H10,テーブル!$M$4:$M$7,1),MATCH(E10,テーブル!$N$3:$R$3,1)),0)</f>
        <v>18266</v>
      </c>
      <c r="J10" s="18"/>
    </row>
    <row r="11" spans="1:10">
      <c r="A11" s="3">
        <v>13</v>
      </c>
      <c r="B11" s="15" t="str">
        <f>VLOOKUP(A11,テーブル!$A$3:$C$8,2,0)</f>
        <v>Ｒ商品</v>
      </c>
      <c r="C11" s="4">
        <v>102</v>
      </c>
      <c r="D11" s="4" t="str">
        <f>VLOOKUP(C11,テーブル!$E$3:$H$6,2,0)</f>
        <v>電気天国堂</v>
      </c>
      <c r="E11" s="43">
        <v>79</v>
      </c>
      <c r="F11" s="31">
        <f>ROUNDDOWN(VLOOKUP(A11,テーブル!$A$3:$C$8,3,0)*(1+VLOOKUP(E11,テーブル!$J$3:$K$5,2,1)),-1)</f>
        <v>2490</v>
      </c>
      <c r="G11" s="32">
        <f t="shared" si="0"/>
        <v>14170</v>
      </c>
      <c r="H11" s="32">
        <f t="shared" si="1"/>
        <v>182540</v>
      </c>
      <c r="I11" s="38">
        <f>ROUNDUP(H11*INDEX(テーブル!$N$4:$R$7,MATCH(H11,テーブル!$M$4:$M$7,1),MATCH(E11,テーブル!$N$3:$R$3,1)),0)</f>
        <v>9675</v>
      </c>
      <c r="J11" s="18"/>
    </row>
    <row r="12" spans="1:10">
      <c r="A12" s="3">
        <v>13</v>
      </c>
      <c r="B12" s="15" t="str">
        <f>VLOOKUP(A12,テーブル!$A$3:$C$8,2,0)</f>
        <v>Ｒ商品</v>
      </c>
      <c r="C12" s="4">
        <v>103</v>
      </c>
      <c r="D12" s="4" t="str">
        <f>VLOOKUP(C12,テーブル!$E$3:$H$6,2,0)</f>
        <v>共栄百貨店</v>
      </c>
      <c r="E12" s="43">
        <v>137</v>
      </c>
      <c r="F12" s="31">
        <f>ROUNDDOWN(VLOOKUP(A12,テーブル!$A$3:$C$8,3,0)*(1+VLOOKUP(E12,テーブル!$J$3:$K$5,2,1)),-1)</f>
        <v>2460</v>
      </c>
      <c r="G12" s="32">
        <f t="shared" si="0"/>
        <v>24270</v>
      </c>
      <c r="H12" s="32">
        <f t="shared" si="1"/>
        <v>312750</v>
      </c>
      <c r="I12" s="38">
        <f>ROUNDUP(H12*INDEX(テーブル!$N$4:$R$7,MATCH(H12,テーブル!$M$4:$M$7,1),MATCH(E12,テーブル!$N$3:$R$3,1)),0)</f>
        <v>13449</v>
      </c>
      <c r="J12" s="18"/>
    </row>
    <row r="13" spans="1:10">
      <c r="A13" s="3">
        <v>13</v>
      </c>
      <c r="B13" s="15" t="str">
        <f>VLOOKUP(A13,テーブル!$A$3:$C$8,2,0)</f>
        <v>Ｒ商品</v>
      </c>
      <c r="C13" s="4">
        <v>104</v>
      </c>
      <c r="D13" s="4" t="str">
        <f>VLOOKUP(C13,テーブル!$E$3:$H$6,2,0)</f>
        <v>ＡＫＩＢＡ</v>
      </c>
      <c r="E13" s="43">
        <v>145</v>
      </c>
      <c r="F13" s="31">
        <f>ROUNDDOWN(VLOOKUP(A13,テーブル!$A$3:$C$8,3,0)*(1+VLOOKUP(E13,テーブル!$J$3:$K$5,2,1)),-1)</f>
        <v>2460</v>
      </c>
      <c r="G13" s="32">
        <f t="shared" si="0"/>
        <v>25690</v>
      </c>
      <c r="H13" s="32">
        <f t="shared" si="1"/>
        <v>331010</v>
      </c>
      <c r="I13" s="38">
        <f>ROUNDUP(H13*INDEX(テーブル!$N$4:$R$7,MATCH(H13,テーブル!$M$4:$M$7,1),MATCH(E13,テーブル!$N$3:$R$3,1)),0)</f>
        <v>14234</v>
      </c>
      <c r="J13" s="18"/>
    </row>
    <row r="14" spans="1:10">
      <c r="A14" s="3">
        <v>14</v>
      </c>
      <c r="B14" s="15" t="str">
        <f>VLOOKUP(A14,テーブル!$A$3:$C$8,2,0)</f>
        <v>Ｘ商品</v>
      </c>
      <c r="C14" s="4">
        <v>101</v>
      </c>
      <c r="D14" s="4" t="str">
        <f>VLOOKUP(C14,テーブル!$E$3:$H$6,2,0)</f>
        <v>佐々木電機</v>
      </c>
      <c r="E14" s="43">
        <v>80</v>
      </c>
      <c r="F14" s="31">
        <f>ROUNDDOWN(VLOOKUP(A14,テーブル!$A$3:$C$8,3,0)*(1+VLOOKUP(E14,テーブル!$J$3:$K$5,2,1)),-1)</f>
        <v>2960</v>
      </c>
      <c r="G14" s="32">
        <f t="shared" si="0"/>
        <v>19900</v>
      </c>
      <c r="H14" s="32">
        <f t="shared" si="1"/>
        <v>216900</v>
      </c>
      <c r="I14" s="38">
        <f>ROUNDUP(H14*INDEX(テーブル!$N$4:$R$7,MATCH(H14,テーブル!$M$4:$M$7,1),MATCH(E14,テーブル!$N$3:$R$3,1)),0)</f>
        <v>10412</v>
      </c>
      <c r="J14" s="18"/>
    </row>
    <row r="15" spans="1:10">
      <c r="A15" s="3">
        <v>14</v>
      </c>
      <c r="B15" s="15" t="str">
        <f>VLOOKUP(A15,テーブル!$A$3:$C$8,2,0)</f>
        <v>Ｘ商品</v>
      </c>
      <c r="C15" s="4">
        <v>102</v>
      </c>
      <c r="D15" s="4" t="str">
        <f>VLOOKUP(C15,テーブル!$E$3:$H$6,2,0)</f>
        <v>電気天国堂</v>
      </c>
      <c r="E15" s="43">
        <v>91</v>
      </c>
      <c r="F15" s="31">
        <f>ROUNDDOWN(VLOOKUP(A15,テーブル!$A$3:$C$8,3,0)*(1+VLOOKUP(E15,テーブル!$J$3:$K$5,2,1)),-1)</f>
        <v>2960</v>
      </c>
      <c r="G15" s="32">
        <f t="shared" si="0"/>
        <v>22630</v>
      </c>
      <c r="H15" s="32">
        <f t="shared" si="1"/>
        <v>246730</v>
      </c>
      <c r="I15" s="38">
        <f>ROUNDUP(H15*INDEX(テーブル!$N$4:$R$7,MATCH(H15,テーブル!$M$4:$M$7,1),MATCH(E15,テーブル!$N$3:$R$3,1)),0)</f>
        <v>11844</v>
      </c>
      <c r="J15" s="18"/>
    </row>
    <row r="16" spans="1:10">
      <c r="A16" s="3">
        <v>14</v>
      </c>
      <c r="B16" s="15" t="str">
        <f>VLOOKUP(A16,テーブル!$A$3:$C$8,2,0)</f>
        <v>Ｘ商品</v>
      </c>
      <c r="C16" s="4">
        <v>103</v>
      </c>
      <c r="D16" s="4" t="str">
        <f>VLOOKUP(C16,テーブル!$E$3:$H$6,2,0)</f>
        <v>共栄百貨店</v>
      </c>
      <c r="E16" s="43">
        <v>167</v>
      </c>
      <c r="F16" s="31">
        <f>ROUNDDOWN(VLOOKUP(A16,テーブル!$A$3:$C$8,3,0)*(1+VLOOKUP(E16,テーブル!$J$3:$K$5,2,1)),-1)</f>
        <v>2870</v>
      </c>
      <c r="G16" s="32">
        <f t="shared" si="0"/>
        <v>34510</v>
      </c>
      <c r="H16" s="32">
        <f t="shared" si="1"/>
        <v>444780</v>
      </c>
      <c r="I16" s="38">
        <f>ROUNDUP(H16*INDEX(テーブル!$N$4:$R$7,MATCH(H16,テーブル!$M$4:$M$7,1),MATCH(E16,テーブル!$N$3:$R$3,1)),0)</f>
        <v>16902</v>
      </c>
      <c r="J16" s="18"/>
    </row>
    <row r="17" spans="1:10">
      <c r="A17" s="3">
        <v>14</v>
      </c>
      <c r="B17" s="15" t="str">
        <f>VLOOKUP(A17,テーブル!$A$3:$C$8,2,0)</f>
        <v>Ｘ商品</v>
      </c>
      <c r="C17" s="4">
        <v>104</v>
      </c>
      <c r="D17" s="4" t="str">
        <f>VLOOKUP(C17,テーブル!$E$3:$H$6,2,0)</f>
        <v>ＡＫＩＢＡ</v>
      </c>
      <c r="E17" s="43">
        <v>144</v>
      </c>
      <c r="F17" s="31">
        <f>ROUNDDOWN(VLOOKUP(A17,テーブル!$A$3:$C$8,3,0)*(1+VLOOKUP(E17,テーブル!$J$3:$K$5,2,1)),-1)</f>
        <v>2910</v>
      </c>
      <c r="G17" s="32">
        <f t="shared" si="0"/>
        <v>35200</v>
      </c>
      <c r="H17" s="32">
        <f t="shared" si="1"/>
        <v>383840</v>
      </c>
      <c r="I17" s="38">
        <f>ROUNDUP(H17*INDEX(テーブル!$N$4:$R$7,MATCH(H17,テーブル!$M$4:$M$7,1),MATCH(E17,テーブル!$N$3:$R$3,1)),0)</f>
        <v>16506</v>
      </c>
      <c r="J17" s="18"/>
    </row>
    <row r="18" spans="1:10">
      <c r="A18" s="3">
        <v>15</v>
      </c>
      <c r="B18" s="15" t="str">
        <f>VLOOKUP(A18,テーブル!$A$3:$C$8,2,0)</f>
        <v>Ｙ商品</v>
      </c>
      <c r="C18" s="4">
        <v>101</v>
      </c>
      <c r="D18" s="4" t="str">
        <f>VLOOKUP(C18,テーブル!$E$3:$H$6,2,0)</f>
        <v>佐々木電機</v>
      </c>
      <c r="E18" s="43">
        <v>70</v>
      </c>
      <c r="F18" s="31">
        <f>ROUNDDOWN(VLOOKUP(A18,テーブル!$A$3:$C$8,3,0)*(1+VLOOKUP(E18,テーブル!$J$3:$K$5,2,1)),-1)</f>
        <v>2420</v>
      </c>
      <c r="G18" s="32">
        <f t="shared" si="0"/>
        <v>12200</v>
      </c>
      <c r="H18" s="32">
        <f t="shared" si="1"/>
        <v>157200</v>
      </c>
      <c r="I18" s="38">
        <f>ROUNDUP(H18*INDEX(テーブル!$N$4:$R$7,MATCH(H18,テーブル!$M$4:$M$7,1),MATCH(E18,テーブル!$N$3:$R$3,1)),0)</f>
        <v>8332</v>
      </c>
      <c r="J18" s="18"/>
    </row>
    <row r="19" spans="1:10">
      <c r="A19" s="3">
        <v>15</v>
      </c>
      <c r="B19" s="15" t="str">
        <f>VLOOKUP(A19,テーブル!$A$3:$C$8,2,0)</f>
        <v>Ｙ商品</v>
      </c>
      <c r="C19" s="4">
        <v>102</v>
      </c>
      <c r="D19" s="4" t="str">
        <f>VLOOKUP(C19,テーブル!$E$3:$H$6,2,0)</f>
        <v>電気天国堂</v>
      </c>
      <c r="E19" s="43">
        <v>117</v>
      </c>
      <c r="F19" s="31">
        <f>ROUNDDOWN(VLOOKUP(A19,テーブル!$A$3:$C$8,3,0)*(1+VLOOKUP(E19,テーブル!$J$3:$K$5,2,1)),-1)</f>
        <v>2380</v>
      </c>
      <c r="G19" s="32">
        <f t="shared" si="0"/>
        <v>20050</v>
      </c>
      <c r="H19" s="32">
        <f t="shared" si="1"/>
        <v>258410</v>
      </c>
      <c r="I19" s="38">
        <f>ROUNDUP(H19*INDEX(テーブル!$N$4:$R$7,MATCH(H19,テーブル!$M$4:$M$7,1),MATCH(E19,テーブル!$N$3:$R$3,1)),0)</f>
        <v>12404</v>
      </c>
      <c r="J19" s="18"/>
    </row>
    <row r="20" spans="1:10">
      <c r="A20" s="3">
        <v>15</v>
      </c>
      <c r="B20" s="15" t="str">
        <f>VLOOKUP(A20,テーブル!$A$3:$C$8,2,0)</f>
        <v>Ｙ商品</v>
      </c>
      <c r="C20" s="4">
        <v>103</v>
      </c>
      <c r="D20" s="4" t="str">
        <f>VLOOKUP(C20,テーブル!$E$3:$H$6,2,0)</f>
        <v>共栄百貨店</v>
      </c>
      <c r="E20" s="43">
        <v>182</v>
      </c>
      <c r="F20" s="31">
        <f>ROUNDDOWN(VLOOKUP(A20,テーブル!$A$3:$C$8,3,0)*(1+VLOOKUP(E20,テーブル!$J$3:$K$5,2,1)),-1)</f>
        <v>2340</v>
      </c>
      <c r="G20" s="32">
        <f t="shared" si="0"/>
        <v>35780</v>
      </c>
      <c r="H20" s="33">
        <f t="shared" si="1"/>
        <v>390100</v>
      </c>
      <c r="I20" s="38">
        <f>ROUNDUP(H20*INDEX(テーブル!$N$4:$R$7,MATCH(H20,テーブル!$M$4:$M$7,1),MATCH(E20,テーブル!$N$3:$R$3,1)),0)</f>
        <v>18335</v>
      </c>
      <c r="J20" s="18"/>
    </row>
    <row r="21" spans="1:10">
      <c r="A21" s="3">
        <v>15</v>
      </c>
      <c r="B21" s="15" t="str">
        <f>VLOOKUP(A21,テーブル!$A$3:$C$8,2,0)</f>
        <v>Ｙ商品</v>
      </c>
      <c r="C21" s="4">
        <v>104</v>
      </c>
      <c r="D21" s="4" t="str">
        <f>VLOOKUP(C21,テーブル!$E$3:$H$6,2,0)</f>
        <v>ＡＫＩＢＡ</v>
      </c>
      <c r="E21" s="43">
        <v>160</v>
      </c>
      <c r="F21" s="31">
        <f>ROUNDDOWN(VLOOKUP(A21,テーブル!$A$3:$C$8,3,0)*(1+VLOOKUP(E21,テーブル!$J$3:$K$5,2,1)),-1)</f>
        <v>2340</v>
      </c>
      <c r="G21" s="32">
        <f t="shared" si="0"/>
        <v>26960</v>
      </c>
      <c r="H21" s="32">
        <f t="shared" si="1"/>
        <v>347440</v>
      </c>
      <c r="I21" s="38">
        <f>ROUNDUP(H21*INDEX(テーブル!$N$4:$R$7,MATCH(H21,テーブル!$M$4:$M$7,1),MATCH(E21,テーブル!$N$3:$R$3,1)),0)</f>
        <v>15635</v>
      </c>
      <c r="J21" s="18"/>
    </row>
    <row r="22" spans="1:10">
      <c r="A22" s="3">
        <v>16</v>
      </c>
      <c r="B22" s="15" t="str">
        <f>VLOOKUP(A22,テーブル!$A$3:$C$8,2,0)</f>
        <v>Ｚ商品</v>
      </c>
      <c r="C22" s="4">
        <v>101</v>
      </c>
      <c r="D22" s="4" t="str">
        <f>VLOOKUP(C22,テーブル!$E$3:$H$6,2,0)</f>
        <v>佐々木電機</v>
      </c>
      <c r="E22" s="43">
        <v>208</v>
      </c>
      <c r="F22" s="31">
        <f>ROUNDDOWN(VLOOKUP(A22,テーブル!$A$3:$C$8,3,0)*(1+VLOOKUP(E22,テーブル!$J$3:$K$5,2,1)),-1)</f>
        <v>2650</v>
      </c>
      <c r="G22" s="32">
        <f t="shared" si="0"/>
        <v>46310</v>
      </c>
      <c r="H22" s="33">
        <f t="shared" si="1"/>
        <v>504890</v>
      </c>
      <c r="I22" s="38">
        <f>ROUNDUP(H22*INDEX(テーブル!$N$4:$R$7,MATCH(H22,テーブル!$M$4:$M$7,1),MATCH(E22,テーブル!$N$3:$R$3,1)),0)</f>
        <v>20196</v>
      </c>
      <c r="J22" s="18"/>
    </row>
    <row r="23" spans="1:10">
      <c r="A23" s="3">
        <v>16</v>
      </c>
      <c r="B23" s="15" t="str">
        <f>VLOOKUP(A23,テーブル!$A$3:$C$8,2,0)</f>
        <v>Ｚ商品</v>
      </c>
      <c r="C23" s="4">
        <v>102</v>
      </c>
      <c r="D23" s="4" t="str">
        <f>VLOOKUP(C23,テーブル!$E$3:$H$6,2,0)</f>
        <v>電気天国堂</v>
      </c>
      <c r="E23" s="43">
        <v>90</v>
      </c>
      <c r="F23" s="31">
        <f>ROUNDDOWN(VLOOKUP(A23,テーブル!$A$3:$C$8,3,0)*(1+VLOOKUP(E23,テーブル!$J$3:$K$5,2,1)),-1)</f>
        <v>2730</v>
      </c>
      <c r="G23" s="32">
        <f t="shared" si="0"/>
        <v>17700</v>
      </c>
      <c r="H23" s="32">
        <f t="shared" si="1"/>
        <v>228000</v>
      </c>
      <c r="I23" s="38">
        <f>ROUNDUP(H23*INDEX(テーブル!$N$4:$R$7,MATCH(H23,テーブル!$M$4:$M$7,1),MATCH(E23,テーブル!$N$3:$R$3,1)),0)</f>
        <v>10944</v>
      </c>
      <c r="J23" s="18"/>
    </row>
    <row r="24" spans="1:10">
      <c r="A24" s="3">
        <v>16</v>
      </c>
      <c r="B24" s="15" t="str">
        <f>VLOOKUP(A24,テーブル!$A$3:$C$8,2,0)</f>
        <v>Ｚ商品</v>
      </c>
      <c r="C24" s="4">
        <v>103</v>
      </c>
      <c r="D24" s="4" t="str">
        <f>VLOOKUP(C24,テーブル!$E$3:$H$6,2,0)</f>
        <v>共栄百貨店</v>
      </c>
      <c r="E24" s="43">
        <v>100</v>
      </c>
      <c r="F24" s="31">
        <f>ROUNDDOWN(VLOOKUP(A24,テーブル!$A$3:$C$8,3,0)*(1+VLOOKUP(E24,テーブル!$J$3:$K$5,2,1)),-1)</f>
        <v>2690</v>
      </c>
      <c r="G24" s="32">
        <f t="shared" si="0"/>
        <v>19370</v>
      </c>
      <c r="H24" s="32">
        <f t="shared" si="1"/>
        <v>249630</v>
      </c>
      <c r="I24" s="38">
        <f>ROUNDUP(H24*INDEX(テーブル!$N$4:$R$7,MATCH(H24,テーブル!$M$4:$M$7,1),MATCH(E24,テーブル!$N$3:$R$3,1)),0)</f>
        <v>11983</v>
      </c>
      <c r="J24" s="18"/>
    </row>
    <row r="25" spans="1:10">
      <c r="A25" s="3">
        <v>16</v>
      </c>
      <c r="B25" s="15" t="str">
        <f>VLOOKUP(A25,テーブル!$A$3:$C$8,2,0)</f>
        <v>Ｚ商品</v>
      </c>
      <c r="C25" s="4">
        <v>104</v>
      </c>
      <c r="D25" s="4" t="str">
        <f>VLOOKUP(C25,テーブル!$E$3:$H$6,2,0)</f>
        <v>ＡＫＩＢＡ</v>
      </c>
      <c r="E25" s="43">
        <v>168</v>
      </c>
      <c r="F25" s="31">
        <f>ROUNDDOWN(VLOOKUP(A25,テーブル!$A$3:$C$8,3,0)*(1+VLOOKUP(E25,テーブル!$J$3:$K$5,2,1)),-1)</f>
        <v>2650</v>
      </c>
      <c r="G25" s="32">
        <f t="shared" si="0"/>
        <v>32060</v>
      </c>
      <c r="H25" s="32">
        <f t="shared" si="1"/>
        <v>413140</v>
      </c>
      <c r="I25" s="38">
        <f>ROUNDUP(H25*INDEX(テーブル!$N$4:$R$7,MATCH(H25,テーブル!$M$4:$M$7,1),MATCH(E25,テーブル!$N$3:$R$3,1)),0)</f>
        <v>15700</v>
      </c>
      <c r="J25" s="18"/>
    </row>
    <row r="26" spans="1:10">
      <c r="A26" s="3"/>
      <c r="B26" s="4"/>
      <c r="C26" s="4"/>
      <c r="D26" s="4"/>
      <c r="E26" s="4"/>
      <c r="F26" s="4"/>
      <c r="G26" s="4"/>
      <c r="H26" s="4"/>
      <c r="I26" s="7"/>
    </row>
    <row r="27" spans="1:10" ht="14.25" thickBot="1">
      <c r="A27" s="8"/>
      <c r="B27" s="34" t="s">
        <v>1</v>
      </c>
      <c r="C27" s="35"/>
      <c r="D27" s="9"/>
      <c r="E27" s="36">
        <f>SUM(E2:E25)</f>
        <v>3146</v>
      </c>
      <c r="F27" s="36"/>
      <c r="G27" s="36">
        <f>SUM(G2:G25)</f>
        <v>644520</v>
      </c>
      <c r="H27" s="36">
        <f>SUM(H2:H25)</f>
        <v>7592420</v>
      </c>
      <c r="I27" s="37">
        <f>SUM(I2:I25)</f>
        <v>337901</v>
      </c>
    </row>
    <row r="29" spans="1:10">
      <c r="F29" s="1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8" width="10.5" style="1" bestFit="1" customWidth="1"/>
    <col min="9" max="9" width="8.5" style="1" bestFit="1" customWidth="1"/>
    <col min="10" max="16384" width="9" style="1"/>
  </cols>
  <sheetData>
    <row r="1" spans="1:9">
      <c r="A1" s="12" t="s">
        <v>3</v>
      </c>
      <c r="B1" s="29" t="s">
        <v>4</v>
      </c>
      <c r="C1" s="29" t="s">
        <v>7</v>
      </c>
      <c r="D1" s="29" t="s">
        <v>8</v>
      </c>
      <c r="E1" s="29" t="s">
        <v>9</v>
      </c>
      <c r="F1" s="29" t="s">
        <v>12</v>
      </c>
      <c r="G1" s="29" t="s">
        <v>11</v>
      </c>
      <c r="H1" s="29" t="s">
        <v>10</v>
      </c>
      <c r="I1" s="30" t="s">
        <v>38</v>
      </c>
    </row>
    <row r="2" spans="1:9">
      <c r="A2" s="3">
        <v>11</v>
      </c>
      <c r="B2" s="15" t="str">
        <f>VLOOKUP(A2,テーブル!$A$3:$C$8,2,0)</f>
        <v>Ｐ商品</v>
      </c>
      <c r="C2" s="4">
        <v>101</v>
      </c>
      <c r="D2" s="4" t="str">
        <f>VLOOKUP(C2,テーブル!$E$3:$H$6,2,0)</f>
        <v>佐々木電機</v>
      </c>
      <c r="E2" s="43">
        <v>120</v>
      </c>
      <c r="F2" s="31">
        <f>ROUNDDOWN(VLOOKUP(A2,テーブル!$A$3:$C$8,3,0)*(1+VLOOKUP(E2,テーブル!$J$3:$K$5,2,1)),-1)</f>
        <v>2250</v>
      </c>
      <c r="G2" s="32">
        <f t="shared" ref="G2:G25" si="0">ROUNDUP(IF(OR(E2&gt;=180,F2&gt;=2900),F2*E2*8.4%,F2*E2*7.2%),-1)</f>
        <v>19440</v>
      </c>
      <c r="H2" s="33">
        <f t="shared" ref="H2:H25" si="1">F2*E2-G2</f>
        <v>250560</v>
      </c>
      <c r="I2" s="38">
        <f>ROUNDUP(H2*INDEX(テーブル!$N$4:$R$7,MATCH(H2,テーブル!$M$4:$M$7,1),MATCH(E2,テーブル!$N$3:$R$3,1)),0)</f>
        <v>12528</v>
      </c>
    </row>
    <row r="3" spans="1:9">
      <c r="A3" s="3">
        <v>11</v>
      </c>
      <c r="B3" s="15" t="str">
        <f>VLOOKUP(A3,テーブル!$A$3:$C$8,2,0)</f>
        <v>Ｐ商品</v>
      </c>
      <c r="C3" s="4">
        <v>102</v>
      </c>
      <c r="D3" s="4" t="str">
        <f>VLOOKUP(C3,テーブル!$E$3:$H$6,2,0)</f>
        <v>電気天国堂</v>
      </c>
      <c r="E3" s="43">
        <v>167</v>
      </c>
      <c r="F3" s="31">
        <f>ROUNDDOWN(VLOOKUP(A3,テーブル!$A$3:$C$8,3,0)*(1+VLOOKUP(E3,テーブル!$J$3:$K$5,2,1)),-1)</f>
        <v>2210</v>
      </c>
      <c r="G3" s="32">
        <f t="shared" si="0"/>
        <v>26580</v>
      </c>
      <c r="H3" s="33">
        <f t="shared" si="1"/>
        <v>342490</v>
      </c>
      <c r="I3" s="38">
        <f>ROUNDUP(H3*INDEX(テーブル!$N$4:$R$7,MATCH(H3,テーブル!$M$4:$M$7,1),MATCH(E3,テーブル!$N$3:$R$3,1)),0)</f>
        <v>15413</v>
      </c>
    </row>
    <row r="4" spans="1:9">
      <c r="A4" s="3">
        <v>11</v>
      </c>
      <c r="B4" s="15" t="str">
        <f>VLOOKUP(A4,テーブル!$A$3:$C$8,2,0)</f>
        <v>Ｐ商品</v>
      </c>
      <c r="C4" s="4">
        <v>103</v>
      </c>
      <c r="D4" s="4" t="str">
        <f>VLOOKUP(C4,テーブル!$E$3:$H$6,2,0)</f>
        <v>共栄百貨店</v>
      </c>
      <c r="E4" s="43">
        <v>80</v>
      </c>
      <c r="F4" s="31">
        <f>ROUNDDOWN(VLOOKUP(A4,テーブル!$A$3:$C$8,3,0)*(1+VLOOKUP(E4,テーブル!$J$3:$K$5,2,1)),-1)</f>
        <v>2280</v>
      </c>
      <c r="G4" s="32">
        <f t="shared" si="0"/>
        <v>13140</v>
      </c>
      <c r="H4" s="33">
        <f t="shared" si="1"/>
        <v>169260</v>
      </c>
      <c r="I4" s="38">
        <f>ROUNDUP(H4*INDEX(テーブル!$N$4:$R$7,MATCH(H4,テーブル!$M$4:$M$7,1),MATCH(E4,テーブル!$N$3:$R$3,1)),0)</f>
        <v>9310</v>
      </c>
    </row>
    <row r="5" spans="1:9">
      <c r="A5" s="3">
        <v>11</v>
      </c>
      <c r="B5" s="15" t="str">
        <f>VLOOKUP(A5,テーブル!$A$3:$C$8,2,0)</f>
        <v>Ｐ商品</v>
      </c>
      <c r="C5" s="4">
        <v>104</v>
      </c>
      <c r="D5" s="4" t="str">
        <f>VLOOKUP(C5,テーブル!$E$3:$H$6,2,0)</f>
        <v>ＡＫＩＢＡ</v>
      </c>
      <c r="E5" s="43">
        <v>147</v>
      </c>
      <c r="F5" s="31">
        <f>ROUNDDOWN(VLOOKUP(A5,テーブル!$A$3:$C$8,3,0)*(1+VLOOKUP(E5,テーブル!$J$3:$K$5,2,1)),-1)</f>
        <v>2250</v>
      </c>
      <c r="G5" s="32">
        <f t="shared" si="0"/>
        <v>23820</v>
      </c>
      <c r="H5" s="33">
        <f t="shared" si="1"/>
        <v>306930</v>
      </c>
      <c r="I5" s="38">
        <f>ROUNDUP(H5*INDEX(テーブル!$N$4:$R$7,MATCH(H5,テーブル!$M$4:$M$7,1),MATCH(E5,テーブル!$N$3:$R$3,1)),0)</f>
        <v>13198</v>
      </c>
    </row>
    <row r="6" spans="1:9">
      <c r="A6" s="3">
        <v>12</v>
      </c>
      <c r="B6" s="15" t="str">
        <f>VLOOKUP(A6,テーブル!$A$3:$C$8,2,0)</f>
        <v>Ｑ商品</v>
      </c>
      <c r="C6" s="4">
        <v>101</v>
      </c>
      <c r="D6" s="4" t="str">
        <f>VLOOKUP(C6,テーブル!$E$3:$H$6,2,0)</f>
        <v>佐々木電機</v>
      </c>
      <c r="E6" s="43">
        <v>119</v>
      </c>
      <c r="F6" s="31">
        <f>ROUNDDOWN(VLOOKUP(A6,テーブル!$A$3:$C$8,3,0)*(1+VLOOKUP(E6,テーブル!$J$3:$K$5,2,1)),-1)</f>
        <v>3190</v>
      </c>
      <c r="G6" s="32">
        <f t="shared" si="0"/>
        <v>31890</v>
      </c>
      <c r="H6" s="33">
        <f t="shared" si="1"/>
        <v>347720</v>
      </c>
      <c r="I6" s="38">
        <f>ROUNDUP(H6*INDEX(テーブル!$N$4:$R$7,MATCH(H6,テーブル!$M$4:$M$7,1),MATCH(E6,テーブル!$N$3:$R$3,1)),0)</f>
        <v>14257</v>
      </c>
    </row>
    <row r="7" spans="1:9">
      <c r="A7" s="3">
        <v>12</v>
      </c>
      <c r="B7" s="15" t="str">
        <f>VLOOKUP(A7,テーブル!$A$3:$C$8,2,0)</f>
        <v>Ｑ商品</v>
      </c>
      <c r="C7" s="4">
        <v>102</v>
      </c>
      <c r="D7" s="4" t="str">
        <f>VLOOKUP(C7,テーブル!$E$3:$H$6,2,0)</f>
        <v>電気天国堂</v>
      </c>
      <c r="E7" s="43">
        <v>209</v>
      </c>
      <c r="F7" s="31">
        <f>ROUNDDOWN(VLOOKUP(A7,テーブル!$A$3:$C$8,3,0)*(1+VLOOKUP(E7,テーブル!$J$3:$K$5,2,1)),-1)</f>
        <v>3140</v>
      </c>
      <c r="G7" s="32">
        <f t="shared" si="0"/>
        <v>55130</v>
      </c>
      <c r="H7" s="33">
        <f t="shared" si="1"/>
        <v>601130</v>
      </c>
      <c r="I7" s="38">
        <f>ROUNDUP(H7*INDEX(テーブル!$N$4:$R$7,MATCH(H7,テーブル!$M$4:$M$7,1),MATCH(E7,テーブル!$N$3:$R$3,1)),0)</f>
        <v>24046</v>
      </c>
    </row>
    <row r="8" spans="1:9">
      <c r="A8" s="3">
        <v>12</v>
      </c>
      <c r="B8" s="15" t="str">
        <f>VLOOKUP(A8,テーブル!$A$3:$C$8,2,0)</f>
        <v>Ｑ商品</v>
      </c>
      <c r="C8" s="4">
        <v>103</v>
      </c>
      <c r="D8" s="4" t="str">
        <f>VLOOKUP(C8,テーブル!$E$3:$H$6,2,0)</f>
        <v>共栄百貨店</v>
      </c>
      <c r="E8" s="43">
        <v>134</v>
      </c>
      <c r="F8" s="31">
        <f>ROUNDDOWN(VLOOKUP(A8,テーブル!$A$3:$C$8,3,0)*(1+VLOOKUP(E8,テーブル!$J$3:$K$5,2,1)),-1)</f>
        <v>3190</v>
      </c>
      <c r="G8" s="32">
        <f t="shared" si="0"/>
        <v>35910</v>
      </c>
      <c r="H8" s="33">
        <f t="shared" si="1"/>
        <v>391550</v>
      </c>
      <c r="I8" s="38">
        <f>ROUNDUP(H8*INDEX(テーブル!$N$4:$R$7,MATCH(H8,テーブル!$M$4:$M$7,1),MATCH(E8,テーブル!$N$3:$R$3,1)),0)</f>
        <v>16837</v>
      </c>
    </row>
    <row r="9" spans="1:9">
      <c r="A9" s="3">
        <v>12</v>
      </c>
      <c r="B9" s="15" t="str">
        <f>VLOOKUP(A9,テーブル!$A$3:$C$8,2,0)</f>
        <v>Ｑ商品</v>
      </c>
      <c r="C9" s="4">
        <v>104</v>
      </c>
      <c r="D9" s="4" t="str">
        <f>VLOOKUP(C9,テーブル!$E$3:$H$6,2,0)</f>
        <v>ＡＫＩＢＡ</v>
      </c>
      <c r="E9" s="43">
        <v>76</v>
      </c>
      <c r="F9" s="31">
        <f>ROUNDDOWN(VLOOKUP(A9,テーブル!$A$3:$C$8,3,0)*(1+VLOOKUP(E9,テーブル!$J$3:$K$5,2,1)),-1)</f>
        <v>3240</v>
      </c>
      <c r="G9" s="32">
        <f t="shared" si="0"/>
        <v>20690</v>
      </c>
      <c r="H9" s="33">
        <f t="shared" si="1"/>
        <v>225550</v>
      </c>
      <c r="I9" s="38">
        <f>ROUNDUP(H9*INDEX(テーブル!$N$4:$R$7,MATCH(H9,テーブル!$M$4:$M$7,1),MATCH(E9,テーブル!$N$3:$R$3,1)),0)</f>
        <v>10376</v>
      </c>
    </row>
    <row r="10" spans="1:9">
      <c r="A10" s="3">
        <v>13</v>
      </c>
      <c r="B10" s="15" t="str">
        <f>VLOOKUP(A10,テーブル!$A$3:$C$8,2,0)</f>
        <v>Ｒ商品</v>
      </c>
      <c r="C10" s="4">
        <v>101</v>
      </c>
      <c r="D10" s="4" t="str">
        <f>VLOOKUP(C10,テーブル!$E$3:$H$6,2,0)</f>
        <v>佐々木電機</v>
      </c>
      <c r="E10" s="43">
        <v>150</v>
      </c>
      <c r="F10" s="31">
        <f>ROUNDDOWN(VLOOKUP(A10,テーブル!$A$3:$C$8,3,0)*(1+VLOOKUP(E10,テーブル!$J$3:$K$5,2,1)),-1)</f>
        <v>2460</v>
      </c>
      <c r="G10" s="32">
        <f t="shared" si="0"/>
        <v>26570</v>
      </c>
      <c r="H10" s="33">
        <f t="shared" si="1"/>
        <v>342430</v>
      </c>
      <c r="I10" s="38">
        <f>ROUNDUP(H10*INDEX(テーブル!$N$4:$R$7,MATCH(H10,テーブル!$M$4:$M$7,1),MATCH(E10,テーブル!$N$3:$R$3,1)),0)</f>
        <v>15410</v>
      </c>
    </row>
    <row r="11" spans="1:9">
      <c r="A11" s="3">
        <v>13</v>
      </c>
      <c r="B11" s="15" t="str">
        <f>VLOOKUP(A11,テーブル!$A$3:$C$8,2,0)</f>
        <v>Ｒ商品</v>
      </c>
      <c r="C11" s="4">
        <v>102</v>
      </c>
      <c r="D11" s="4" t="str">
        <f>VLOOKUP(C11,テーブル!$E$3:$H$6,2,0)</f>
        <v>電気天国堂</v>
      </c>
      <c r="E11" s="43">
        <v>198</v>
      </c>
      <c r="F11" s="31">
        <f>ROUNDDOWN(VLOOKUP(A11,テーブル!$A$3:$C$8,3,0)*(1+VLOOKUP(E11,テーブル!$J$3:$K$5,2,1)),-1)</f>
        <v>2420</v>
      </c>
      <c r="G11" s="32">
        <f t="shared" si="0"/>
        <v>40250</v>
      </c>
      <c r="H11" s="33">
        <f t="shared" si="1"/>
        <v>438910</v>
      </c>
      <c r="I11" s="38">
        <f>ROUNDUP(H11*INDEX(テーブル!$N$4:$R$7,MATCH(H11,テーブル!$M$4:$M$7,1),MATCH(E11,テーブル!$N$3:$R$3,1)),0)</f>
        <v>17557</v>
      </c>
    </row>
    <row r="12" spans="1:9">
      <c r="A12" s="3">
        <v>13</v>
      </c>
      <c r="B12" s="15" t="str">
        <f>VLOOKUP(A12,テーブル!$A$3:$C$8,2,0)</f>
        <v>Ｒ商品</v>
      </c>
      <c r="C12" s="4">
        <v>103</v>
      </c>
      <c r="D12" s="4" t="str">
        <f>VLOOKUP(C12,テーブル!$E$3:$H$6,2,0)</f>
        <v>共栄百貨店</v>
      </c>
      <c r="E12" s="43">
        <v>65</v>
      </c>
      <c r="F12" s="31">
        <f>ROUNDDOWN(VLOOKUP(A12,テーブル!$A$3:$C$8,3,0)*(1+VLOOKUP(E12,テーブル!$J$3:$K$5,2,1)),-1)</f>
        <v>2490</v>
      </c>
      <c r="G12" s="32">
        <f t="shared" si="0"/>
        <v>11660</v>
      </c>
      <c r="H12" s="33">
        <f t="shared" si="1"/>
        <v>150190</v>
      </c>
      <c r="I12" s="38">
        <f>ROUNDUP(H12*INDEX(テーブル!$N$4:$R$7,MATCH(H12,テーブル!$M$4:$M$7,1),MATCH(E12,テーブル!$N$3:$R$3,1)),0)</f>
        <v>7961</v>
      </c>
    </row>
    <row r="13" spans="1:9">
      <c r="A13" s="3">
        <v>13</v>
      </c>
      <c r="B13" s="15" t="str">
        <f>VLOOKUP(A13,テーブル!$A$3:$C$8,2,0)</f>
        <v>Ｒ商品</v>
      </c>
      <c r="C13" s="4">
        <v>104</v>
      </c>
      <c r="D13" s="4" t="str">
        <f>VLOOKUP(C13,テーブル!$E$3:$H$6,2,0)</f>
        <v>ＡＫＩＢＡ</v>
      </c>
      <c r="E13" s="43">
        <v>138</v>
      </c>
      <c r="F13" s="31">
        <f>ROUNDDOWN(VLOOKUP(A13,テーブル!$A$3:$C$8,3,0)*(1+VLOOKUP(E13,テーブル!$J$3:$K$5,2,1)),-1)</f>
        <v>2460</v>
      </c>
      <c r="G13" s="32">
        <f t="shared" si="0"/>
        <v>24450</v>
      </c>
      <c r="H13" s="33">
        <f t="shared" si="1"/>
        <v>315030</v>
      </c>
      <c r="I13" s="38">
        <f>ROUNDUP(H13*INDEX(テーブル!$N$4:$R$7,MATCH(H13,テーブル!$M$4:$M$7,1),MATCH(E13,テーブル!$N$3:$R$3,1)),0)</f>
        <v>13547</v>
      </c>
    </row>
    <row r="14" spans="1:9">
      <c r="A14" s="3">
        <v>14</v>
      </c>
      <c r="B14" s="15" t="str">
        <f>VLOOKUP(A14,テーブル!$A$3:$C$8,2,0)</f>
        <v>Ｘ商品</v>
      </c>
      <c r="C14" s="4">
        <v>101</v>
      </c>
      <c r="D14" s="4" t="str">
        <f>VLOOKUP(C14,テーブル!$E$3:$H$6,2,0)</f>
        <v>佐々木電機</v>
      </c>
      <c r="E14" s="43">
        <v>115</v>
      </c>
      <c r="F14" s="31">
        <f>ROUNDDOWN(VLOOKUP(A14,テーブル!$A$3:$C$8,3,0)*(1+VLOOKUP(E14,テーブル!$J$3:$K$5,2,1)),-1)</f>
        <v>2910</v>
      </c>
      <c r="G14" s="32">
        <f t="shared" si="0"/>
        <v>28120</v>
      </c>
      <c r="H14" s="33">
        <f t="shared" si="1"/>
        <v>306530</v>
      </c>
      <c r="I14" s="38">
        <f>ROUNDUP(H14*INDEX(テーブル!$N$4:$R$7,MATCH(H14,テーブル!$M$4:$M$7,1),MATCH(E14,テーブル!$N$3:$R$3,1)),0)</f>
        <v>12568</v>
      </c>
    </row>
    <row r="15" spans="1:9">
      <c r="A15" s="3">
        <v>14</v>
      </c>
      <c r="B15" s="15" t="str">
        <f>VLOOKUP(A15,テーブル!$A$3:$C$8,2,0)</f>
        <v>Ｘ商品</v>
      </c>
      <c r="C15" s="4">
        <v>102</v>
      </c>
      <c r="D15" s="4" t="str">
        <f>VLOOKUP(C15,テーブル!$E$3:$H$6,2,0)</f>
        <v>電気天国堂</v>
      </c>
      <c r="E15" s="43">
        <v>96</v>
      </c>
      <c r="F15" s="31">
        <f>ROUNDDOWN(VLOOKUP(A15,テーブル!$A$3:$C$8,3,0)*(1+VLOOKUP(E15,テーブル!$J$3:$K$5,2,1)),-1)</f>
        <v>2960</v>
      </c>
      <c r="G15" s="32">
        <f t="shared" si="0"/>
        <v>23870</v>
      </c>
      <c r="H15" s="33">
        <f t="shared" si="1"/>
        <v>260290</v>
      </c>
      <c r="I15" s="38">
        <f>ROUNDUP(H15*INDEX(テーブル!$N$4:$R$7,MATCH(H15,テーブル!$M$4:$M$7,1),MATCH(E15,テーブル!$N$3:$R$3,1)),0)</f>
        <v>12494</v>
      </c>
    </row>
    <row r="16" spans="1:9">
      <c r="A16" s="3">
        <v>14</v>
      </c>
      <c r="B16" s="15" t="str">
        <f>VLOOKUP(A16,テーブル!$A$3:$C$8,2,0)</f>
        <v>Ｘ商品</v>
      </c>
      <c r="C16" s="4">
        <v>103</v>
      </c>
      <c r="D16" s="4" t="str">
        <f>VLOOKUP(C16,テーブル!$E$3:$H$6,2,0)</f>
        <v>共栄百貨店</v>
      </c>
      <c r="E16" s="43">
        <v>168</v>
      </c>
      <c r="F16" s="31">
        <f>ROUNDDOWN(VLOOKUP(A16,テーブル!$A$3:$C$8,3,0)*(1+VLOOKUP(E16,テーブル!$J$3:$K$5,2,1)),-1)</f>
        <v>2870</v>
      </c>
      <c r="G16" s="32">
        <f t="shared" si="0"/>
        <v>34720</v>
      </c>
      <c r="H16" s="33">
        <f t="shared" si="1"/>
        <v>447440</v>
      </c>
      <c r="I16" s="38">
        <f>ROUNDUP(H16*INDEX(テーブル!$N$4:$R$7,MATCH(H16,テーブル!$M$4:$M$7,1),MATCH(E16,テーブル!$N$3:$R$3,1)),0)</f>
        <v>17003</v>
      </c>
    </row>
    <row r="17" spans="1:9">
      <c r="A17" s="3">
        <v>14</v>
      </c>
      <c r="B17" s="15" t="str">
        <f>VLOOKUP(A17,テーブル!$A$3:$C$8,2,0)</f>
        <v>Ｘ商品</v>
      </c>
      <c r="C17" s="4">
        <v>104</v>
      </c>
      <c r="D17" s="4" t="str">
        <f>VLOOKUP(C17,テーブル!$E$3:$H$6,2,0)</f>
        <v>ＡＫＩＢＡ</v>
      </c>
      <c r="E17" s="43">
        <v>131</v>
      </c>
      <c r="F17" s="31">
        <f>ROUNDDOWN(VLOOKUP(A17,テーブル!$A$3:$C$8,3,0)*(1+VLOOKUP(E17,テーブル!$J$3:$K$5,2,1)),-1)</f>
        <v>2910</v>
      </c>
      <c r="G17" s="32">
        <f t="shared" si="0"/>
        <v>32030</v>
      </c>
      <c r="H17" s="33">
        <f t="shared" si="1"/>
        <v>349180</v>
      </c>
      <c r="I17" s="38">
        <f>ROUNDUP(H17*INDEX(テーブル!$N$4:$R$7,MATCH(H17,テーブル!$M$4:$M$7,1),MATCH(E17,テーブル!$N$3:$R$3,1)),0)</f>
        <v>15015</v>
      </c>
    </row>
    <row r="18" spans="1:9">
      <c r="A18" s="3">
        <v>15</v>
      </c>
      <c r="B18" s="15" t="str">
        <f>VLOOKUP(A18,テーブル!$A$3:$C$8,2,0)</f>
        <v>Ｙ商品</v>
      </c>
      <c r="C18" s="4">
        <v>101</v>
      </c>
      <c r="D18" s="4" t="str">
        <f>VLOOKUP(C18,テーブル!$E$3:$H$6,2,0)</f>
        <v>佐々木電機</v>
      </c>
      <c r="E18" s="43">
        <v>74</v>
      </c>
      <c r="F18" s="31">
        <f>ROUNDDOWN(VLOOKUP(A18,テーブル!$A$3:$C$8,3,0)*(1+VLOOKUP(E18,テーブル!$J$3:$K$5,2,1)),-1)</f>
        <v>2420</v>
      </c>
      <c r="G18" s="32">
        <f t="shared" si="0"/>
        <v>12900</v>
      </c>
      <c r="H18" s="33">
        <f t="shared" si="1"/>
        <v>166180</v>
      </c>
      <c r="I18" s="38">
        <f>ROUNDUP(H18*INDEX(テーブル!$N$4:$R$7,MATCH(H18,テーブル!$M$4:$M$7,1),MATCH(E18,テーブル!$N$3:$R$3,1)),0)</f>
        <v>8808</v>
      </c>
    </row>
    <row r="19" spans="1:9">
      <c r="A19" s="3">
        <v>15</v>
      </c>
      <c r="B19" s="15" t="str">
        <f>VLOOKUP(A19,テーブル!$A$3:$C$8,2,0)</f>
        <v>Ｙ商品</v>
      </c>
      <c r="C19" s="4">
        <v>102</v>
      </c>
      <c r="D19" s="4" t="str">
        <f>VLOOKUP(C19,テーブル!$E$3:$H$6,2,0)</f>
        <v>電気天国堂</v>
      </c>
      <c r="E19" s="43">
        <v>104</v>
      </c>
      <c r="F19" s="31">
        <f>ROUNDDOWN(VLOOKUP(A19,テーブル!$A$3:$C$8,3,0)*(1+VLOOKUP(E19,テーブル!$J$3:$K$5,2,1)),-1)</f>
        <v>2380</v>
      </c>
      <c r="G19" s="32">
        <f t="shared" si="0"/>
        <v>17830</v>
      </c>
      <c r="H19" s="33">
        <f t="shared" si="1"/>
        <v>229690</v>
      </c>
      <c r="I19" s="38">
        <f>ROUNDUP(H19*INDEX(テーブル!$N$4:$R$7,MATCH(H19,テーブル!$M$4:$M$7,1),MATCH(E19,テーブル!$N$3:$R$3,1)),0)</f>
        <v>11026</v>
      </c>
    </row>
    <row r="20" spans="1:9">
      <c r="A20" s="3">
        <v>15</v>
      </c>
      <c r="B20" s="15" t="str">
        <f>VLOOKUP(A20,テーブル!$A$3:$C$8,2,0)</f>
        <v>Ｙ商品</v>
      </c>
      <c r="C20" s="4">
        <v>103</v>
      </c>
      <c r="D20" s="4" t="str">
        <f>VLOOKUP(C20,テーブル!$E$3:$H$6,2,0)</f>
        <v>共栄百貨店</v>
      </c>
      <c r="E20" s="43">
        <v>180</v>
      </c>
      <c r="F20" s="31">
        <f>ROUNDDOWN(VLOOKUP(A20,テーブル!$A$3:$C$8,3,0)*(1+VLOOKUP(E20,テーブル!$J$3:$K$5,2,1)),-1)</f>
        <v>2340</v>
      </c>
      <c r="G20" s="32">
        <f t="shared" si="0"/>
        <v>35390</v>
      </c>
      <c r="H20" s="33">
        <f t="shared" si="1"/>
        <v>385810</v>
      </c>
      <c r="I20" s="38">
        <f>ROUNDUP(H20*INDEX(テーブル!$N$4:$R$7,MATCH(H20,テーブル!$M$4:$M$7,1),MATCH(E20,テーブル!$N$3:$R$3,1)),0)</f>
        <v>18134</v>
      </c>
    </row>
    <row r="21" spans="1:9">
      <c r="A21" s="3">
        <v>15</v>
      </c>
      <c r="B21" s="15" t="str">
        <f>VLOOKUP(A21,テーブル!$A$3:$C$8,2,0)</f>
        <v>Ｙ商品</v>
      </c>
      <c r="C21" s="4">
        <v>104</v>
      </c>
      <c r="D21" s="4" t="str">
        <f>VLOOKUP(C21,テーブル!$E$3:$H$6,2,0)</f>
        <v>ＡＫＩＢＡ</v>
      </c>
      <c r="E21" s="43">
        <v>160</v>
      </c>
      <c r="F21" s="31">
        <f>ROUNDDOWN(VLOOKUP(A21,テーブル!$A$3:$C$8,3,0)*(1+VLOOKUP(E21,テーブル!$J$3:$K$5,2,1)),-1)</f>
        <v>2340</v>
      </c>
      <c r="G21" s="32">
        <f t="shared" si="0"/>
        <v>26960</v>
      </c>
      <c r="H21" s="33">
        <f t="shared" si="1"/>
        <v>347440</v>
      </c>
      <c r="I21" s="38">
        <f>ROUNDUP(H21*INDEX(テーブル!$N$4:$R$7,MATCH(H21,テーブル!$M$4:$M$7,1),MATCH(E21,テーブル!$N$3:$R$3,1)),0)</f>
        <v>15635</v>
      </c>
    </row>
    <row r="22" spans="1:9">
      <c r="A22" s="3">
        <v>16</v>
      </c>
      <c r="B22" s="15" t="str">
        <f>VLOOKUP(A22,テーブル!$A$3:$C$8,2,0)</f>
        <v>Ｚ商品</v>
      </c>
      <c r="C22" s="4">
        <v>101</v>
      </c>
      <c r="D22" s="4" t="str">
        <f>VLOOKUP(C22,テーブル!$E$3:$H$6,2,0)</f>
        <v>佐々木電機</v>
      </c>
      <c r="E22" s="43">
        <v>208</v>
      </c>
      <c r="F22" s="31">
        <f>ROUNDDOWN(VLOOKUP(A22,テーブル!$A$3:$C$8,3,0)*(1+VLOOKUP(E22,テーブル!$J$3:$K$5,2,1)),-1)</f>
        <v>2650</v>
      </c>
      <c r="G22" s="32">
        <f t="shared" si="0"/>
        <v>46310</v>
      </c>
      <c r="H22" s="33">
        <f t="shared" si="1"/>
        <v>504890</v>
      </c>
      <c r="I22" s="38">
        <f>ROUNDUP(H22*INDEX(テーブル!$N$4:$R$7,MATCH(H22,テーブル!$M$4:$M$7,1),MATCH(E22,テーブル!$N$3:$R$3,1)),0)</f>
        <v>20196</v>
      </c>
    </row>
    <row r="23" spans="1:9">
      <c r="A23" s="3">
        <v>16</v>
      </c>
      <c r="B23" s="15" t="str">
        <f>VLOOKUP(A23,テーブル!$A$3:$C$8,2,0)</f>
        <v>Ｚ商品</v>
      </c>
      <c r="C23" s="4">
        <v>102</v>
      </c>
      <c r="D23" s="4" t="str">
        <f>VLOOKUP(C23,テーブル!$E$3:$H$6,2,0)</f>
        <v>電気天国堂</v>
      </c>
      <c r="E23" s="43">
        <v>73</v>
      </c>
      <c r="F23" s="31">
        <f>ROUNDDOWN(VLOOKUP(A23,テーブル!$A$3:$C$8,3,0)*(1+VLOOKUP(E23,テーブル!$J$3:$K$5,2,1)),-1)</f>
        <v>2730</v>
      </c>
      <c r="G23" s="32">
        <f t="shared" si="0"/>
        <v>14350</v>
      </c>
      <c r="H23" s="33">
        <f t="shared" si="1"/>
        <v>184940</v>
      </c>
      <c r="I23" s="38">
        <f>ROUNDUP(H23*INDEX(テーブル!$N$4:$R$7,MATCH(H23,テーブル!$M$4:$M$7,1),MATCH(E23,テーブル!$N$3:$R$3,1)),0)</f>
        <v>9802</v>
      </c>
    </row>
    <row r="24" spans="1:9">
      <c r="A24" s="3">
        <v>16</v>
      </c>
      <c r="B24" s="15" t="str">
        <f>VLOOKUP(A24,テーブル!$A$3:$C$8,2,0)</f>
        <v>Ｚ商品</v>
      </c>
      <c r="C24" s="4">
        <v>103</v>
      </c>
      <c r="D24" s="4" t="str">
        <f>VLOOKUP(C24,テーブル!$E$3:$H$6,2,0)</f>
        <v>共栄百貨店</v>
      </c>
      <c r="E24" s="43">
        <v>93</v>
      </c>
      <c r="F24" s="31">
        <f>ROUNDDOWN(VLOOKUP(A24,テーブル!$A$3:$C$8,3,0)*(1+VLOOKUP(E24,テーブル!$J$3:$K$5,2,1)),-1)</f>
        <v>2730</v>
      </c>
      <c r="G24" s="32">
        <f t="shared" si="0"/>
        <v>18290</v>
      </c>
      <c r="H24" s="33">
        <f t="shared" si="1"/>
        <v>235600</v>
      </c>
      <c r="I24" s="38">
        <f>ROUNDUP(H24*INDEX(テーブル!$N$4:$R$7,MATCH(H24,テーブル!$M$4:$M$7,1),MATCH(E24,テーブル!$N$3:$R$3,1)),0)</f>
        <v>11309</v>
      </c>
    </row>
    <row r="25" spans="1:9">
      <c r="A25" s="3">
        <v>13</v>
      </c>
      <c r="B25" s="15" t="str">
        <f>VLOOKUP(A25,テーブル!$A$3:$C$8,2,0)</f>
        <v>Ｒ商品</v>
      </c>
      <c r="C25" s="4">
        <v>104</v>
      </c>
      <c r="D25" s="4" t="str">
        <f>VLOOKUP(C25,テーブル!$E$3:$H$6,2,0)</f>
        <v>ＡＫＩＢＡ</v>
      </c>
      <c r="E25" s="43">
        <v>175</v>
      </c>
      <c r="F25" s="31">
        <f>ROUNDDOWN(VLOOKUP(A25,テーブル!$A$3:$C$8,3,0)*(1+VLOOKUP(E25,テーブル!$J$3:$K$5,2,1)),-1)</f>
        <v>2420</v>
      </c>
      <c r="G25" s="32">
        <f t="shared" si="0"/>
        <v>30500</v>
      </c>
      <c r="H25" s="33">
        <f t="shared" si="1"/>
        <v>393000</v>
      </c>
      <c r="I25" s="38">
        <f>ROUNDUP(H25*INDEX(テーブル!$N$4:$R$7,MATCH(H25,テーブル!$M$4:$M$7,1),MATCH(E25,テーブル!$N$3:$R$3,1)),0)</f>
        <v>17685</v>
      </c>
    </row>
    <row r="26" spans="1:9">
      <c r="A26" s="3"/>
      <c r="B26" s="4"/>
      <c r="C26" s="4"/>
      <c r="D26" s="4"/>
      <c r="E26" s="4"/>
      <c r="F26" s="4"/>
      <c r="G26" s="4"/>
      <c r="H26" s="4"/>
      <c r="I26" s="7"/>
    </row>
    <row r="27" spans="1:9" ht="14.25" thickBot="1">
      <c r="A27" s="8"/>
      <c r="B27" s="34" t="s">
        <v>1</v>
      </c>
      <c r="C27" s="35"/>
      <c r="D27" s="9"/>
      <c r="E27" s="36">
        <f>SUM(E2:E25)</f>
        <v>3180</v>
      </c>
      <c r="F27" s="36"/>
      <c r="G27" s="36">
        <f>SUM(G2:G25)</f>
        <v>650800</v>
      </c>
      <c r="H27" s="36">
        <f>SUM(H2:H25)</f>
        <v>7692740</v>
      </c>
      <c r="I27" s="37">
        <f>SUM(I2:I25)</f>
        <v>340115</v>
      </c>
    </row>
    <row r="29" spans="1:9">
      <c r="E29" s="18"/>
      <c r="F29" s="18"/>
      <c r="H29" s="18"/>
      <c r="I29" s="1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5"/>
  <sheetViews>
    <sheetView zoomScaleNormal="100" workbookViewId="0">
      <selection sqref="A1:D1"/>
    </sheetView>
  </sheetViews>
  <sheetFormatPr defaultRowHeight="13.5"/>
  <cols>
    <col min="1" max="2" width="7.5" style="1" bestFit="1" customWidth="1"/>
    <col min="3" max="3" width="11.625" style="1" bestFit="1" customWidth="1"/>
    <col min="4" max="4" width="8.5" style="1" bestFit="1" customWidth="1"/>
    <col min="5" max="5" width="6.5" style="1" customWidth="1"/>
    <col min="6" max="6" width="7.5" style="1" bestFit="1" customWidth="1"/>
    <col min="7" max="7" width="11.625" style="1" bestFit="1" customWidth="1"/>
    <col min="8" max="8" width="7.5" style="1" customWidth="1"/>
    <col min="9" max="9" width="10.5" style="1" bestFit="1" customWidth="1"/>
    <col min="10" max="10" width="8.5" style="1" bestFit="1" customWidth="1"/>
    <col min="11" max="11" width="7.5" style="1" bestFit="1" customWidth="1"/>
    <col min="12" max="12" width="10.5" style="1" bestFit="1" customWidth="1"/>
    <col min="13" max="13" width="8.5" style="1" bestFit="1" customWidth="1"/>
    <col min="14" max="14" width="7.5" style="1" bestFit="1" customWidth="1"/>
    <col min="15" max="15" width="11.625" style="1" bestFit="1" customWidth="1"/>
    <col min="16" max="16" width="8.5" style="1" bestFit="1" customWidth="1"/>
    <col min="17" max="17" width="7.5" style="1" bestFit="1" customWidth="1"/>
    <col min="18" max="18" width="8.5" style="1" bestFit="1" customWidth="1"/>
    <col min="19" max="19" width="11.625" style="1" bestFit="1" customWidth="1"/>
    <col min="20" max="20" width="9.5" style="1" bestFit="1" customWidth="1"/>
    <col min="21" max="21" width="5.5" style="1" bestFit="1" customWidth="1"/>
    <col min="22" max="16384" width="9" style="1"/>
  </cols>
  <sheetData>
    <row r="1" spans="1:20" ht="14.25" thickBot="1">
      <c r="A1" s="60" t="s">
        <v>14</v>
      </c>
      <c r="B1" s="60"/>
      <c r="C1" s="60"/>
      <c r="D1" s="60"/>
      <c r="E1" s="16"/>
      <c r="F1" s="60" t="s">
        <v>18</v>
      </c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>
      <c r="A2" s="12" t="s">
        <v>4</v>
      </c>
      <c r="B2" s="29" t="s">
        <v>9</v>
      </c>
      <c r="C2" s="29" t="s">
        <v>10</v>
      </c>
      <c r="D2" s="21" t="s">
        <v>37</v>
      </c>
      <c r="E2" s="13"/>
      <c r="F2" s="51"/>
      <c r="G2" s="52"/>
      <c r="H2" s="61" t="s">
        <v>19</v>
      </c>
      <c r="I2" s="61"/>
      <c r="J2" s="61"/>
      <c r="K2" s="61" t="s">
        <v>20</v>
      </c>
      <c r="L2" s="61"/>
      <c r="M2" s="61"/>
      <c r="N2" s="61" t="s">
        <v>21</v>
      </c>
      <c r="O2" s="61"/>
      <c r="P2" s="61"/>
      <c r="Q2" s="56"/>
      <c r="R2" s="56"/>
      <c r="S2" s="57"/>
      <c r="T2" s="58"/>
    </row>
    <row r="3" spans="1:20">
      <c r="A3" s="15" t="s">
        <v>25</v>
      </c>
      <c r="B3" s="6">
        <f>DSUM('８月前期'!$A$1:$I$25,B$2,$A$12:$A$13)+DSUM('８月後期'!$A$1:$I$25,B$2,$A$12:$A$13)</f>
        <v>1051</v>
      </c>
      <c r="C3" s="6">
        <f>DSUM('８月前期'!$A$1:$I$25,C$2,$A$12:$A$13)+DSUM('８月後期'!$A$1:$I$25,C$2,$A$12:$A$13)</f>
        <v>2181450</v>
      </c>
      <c r="D3" s="5">
        <f>DSUM('８月前期'!$A$1:$I$25,D$2,$A$12:$A$13)+DSUM('８月後期'!$A$1:$I$25,D$2,$A$12:$A$13)</f>
        <v>104321</v>
      </c>
      <c r="F3" s="49" t="s">
        <v>7</v>
      </c>
      <c r="G3" s="50" t="s">
        <v>8</v>
      </c>
      <c r="H3" s="14" t="s">
        <v>9</v>
      </c>
      <c r="I3" s="14" t="s">
        <v>10</v>
      </c>
      <c r="J3" s="24" t="s">
        <v>37</v>
      </c>
      <c r="K3" s="14" t="s">
        <v>9</v>
      </c>
      <c r="L3" s="14" t="s">
        <v>10</v>
      </c>
      <c r="M3" s="24" t="s">
        <v>37</v>
      </c>
      <c r="N3" s="14" t="s">
        <v>9</v>
      </c>
      <c r="O3" s="14" t="s">
        <v>10</v>
      </c>
      <c r="P3" s="24" t="s">
        <v>37</v>
      </c>
      <c r="Q3" s="53" t="s">
        <v>23</v>
      </c>
      <c r="R3" s="53" t="s">
        <v>16</v>
      </c>
      <c r="S3" s="54" t="s">
        <v>15</v>
      </c>
      <c r="T3" s="55" t="s">
        <v>13</v>
      </c>
    </row>
    <row r="4" spans="1:20">
      <c r="A4" s="15" t="s">
        <v>26</v>
      </c>
      <c r="B4" s="6">
        <f>DSUM('８月前期'!$A$1:$I$25,B$2,$B$12:$B$13)+DSUM('８月後期'!$A$1:$I$25,B$2,$B$12:$B$13)</f>
        <v>1003</v>
      </c>
      <c r="C4" s="6">
        <f>DSUM('８月前期'!$A$1:$I$25,C$2,$B$12:$B$13)+DSUM('８月後期'!$A$1:$I$25,C$2,$B$12:$B$13)</f>
        <v>2922160</v>
      </c>
      <c r="D4" s="5">
        <f>DSUM('８月前期'!$A$1:$I$25,D$2,$B$12:$B$13)+DSUM('８月後期'!$A$1:$I$25,D$2,$B$12:$B$13)</f>
        <v>124728</v>
      </c>
      <c r="F4" s="3">
        <v>103</v>
      </c>
      <c r="G4" s="4" t="str">
        <f>VLOOKUP(F4,テーブル!$E$3:$H$6,2,0)</f>
        <v>共栄百貨店</v>
      </c>
      <c r="H4" s="6">
        <f ca="1">DSUM(INDIRECT($H$2&amp;"!$A$1:$I$25"),H$3,$H$11:$H$12)</f>
        <v>961</v>
      </c>
      <c r="I4" s="6">
        <f ca="1">DSUM(INDIRECT($H$2&amp;"!$A$1:$I$25"),I$3,$H$11:$H$12)</f>
        <v>2322500</v>
      </c>
      <c r="J4" s="6">
        <f ca="1">DSUM(INDIRECT($H$2&amp;"!$A$1:$I$25"),J$3,$H$11:$H$12)</f>
        <v>100230</v>
      </c>
      <c r="K4" s="6">
        <f ca="1">DSUM(INDIRECT($K$2&amp;"!$A$1:$I$25"),K$3,$H$11:$H$12)</f>
        <v>720</v>
      </c>
      <c r="L4" s="6">
        <f ca="1">DSUM(INDIRECT($K$2&amp;"!$A$1:$I$25"),L$3,$H$11:$H$12)</f>
        <v>1779850</v>
      </c>
      <c r="M4" s="6">
        <f ca="1">DSUM(INDIRECT($K$2&amp;"!$A$1:$I$25"),M$3,$H$11:$H$12)</f>
        <v>80554</v>
      </c>
      <c r="N4" s="6">
        <f t="shared" ref="N4:P7" ca="1" si="0">H4+K4</f>
        <v>1681</v>
      </c>
      <c r="O4" s="6">
        <f t="shared" ca="1" si="0"/>
        <v>4102350</v>
      </c>
      <c r="P4" s="6">
        <f t="shared" ca="1" si="0"/>
        <v>180784</v>
      </c>
      <c r="Q4" s="45">
        <f ca="1">ROUNDDOWN(O4/VLOOKUP(F4,テーブル!$E$3:$H$6,3,0),2)</f>
        <v>1.05</v>
      </c>
      <c r="R4" s="6">
        <f ca="1">ROUND(O4*VLOOKUP(F4,テーブル!$E$3:$H$6,4,0),-1)</f>
        <v>168200</v>
      </c>
      <c r="S4" s="6">
        <f ca="1">O4+P4-R4</f>
        <v>4114934</v>
      </c>
      <c r="T4" s="48" t="str">
        <f ca="1">IF(OR(O4&gt;=4100000,Q4&gt;=106%),"絶好調","")</f>
        <v>絶好調</v>
      </c>
    </row>
    <row r="5" spans="1:20">
      <c r="A5" s="15" t="s">
        <v>27</v>
      </c>
      <c r="B5" s="6">
        <f>DSUM('８月前期'!$A$1:$I$25,B$2,$C$12:$C$13)+DSUM('８月後期'!$A$1:$I$25,B$2,$C$12:$C$13)</f>
        <v>1293</v>
      </c>
      <c r="C5" s="6">
        <f>DSUM('８月前期'!$A$1:$I$25,C$2,$C$12:$C$13)+DSUM('８月後期'!$A$1:$I$25,C$2,$C$12:$C$13)</f>
        <v>2922500</v>
      </c>
      <c r="D5" s="5">
        <f>DSUM('８月前期'!$A$1:$I$25,D$2,$C$12:$C$13)+DSUM('８月後期'!$A$1:$I$25,D$2,$C$12:$C$13)</f>
        <v>127784</v>
      </c>
      <c r="F5" s="3">
        <v>104</v>
      </c>
      <c r="G5" s="4" t="str">
        <f>VLOOKUP(F5,テーブル!$E$3:$H$6,2,0)</f>
        <v>ＡＫＩＢＡ</v>
      </c>
      <c r="H5" s="6">
        <f ca="1">DSUM(INDIRECT($H$2&amp;"!$A$1:$I$25"),H$3,$I$11:$I$12)</f>
        <v>831</v>
      </c>
      <c r="I5" s="6">
        <f ca="1">DSUM(INDIRECT($H$2&amp;"!$A$1:$I$25"),I$3,$I$11:$I$12)</f>
        <v>1978570</v>
      </c>
      <c r="J5" s="6">
        <f ca="1">DSUM(INDIRECT($H$2&amp;"!$A$1:$I$25"),J$3,$I$11:$I$12)</f>
        <v>86236</v>
      </c>
      <c r="K5" s="6">
        <f ca="1">DSUM(INDIRECT($K$2&amp;"!$A$1:$I$25"),K$3,$I$11:$I$12)</f>
        <v>827</v>
      </c>
      <c r="L5" s="6">
        <f ca="1">DSUM(INDIRECT($K$2&amp;"!$A$1:$I$25"),L$3,$I$11:$I$12)</f>
        <v>1937130</v>
      </c>
      <c r="M5" s="6">
        <f ca="1">DSUM(INDIRECT($K$2&amp;"!$A$1:$I$25"),M$3,$I$11:$I$12)</f>
        <v>85456</v>
      </c>
      <c r="N5" s="6">
        <f t="shared" ca="1" si="0"/>
        <v>1658</v>
      </c>
      <c r="O5" s="6">
        <f t="shared" ca="1" si="0"/>
        <v>3915700</v>
      </c>
      <c r="P5" s="6">
        <f t="shared" ca="1" si="0"/>
        <v>171692</v>
      </c>
      <c r="Q5" s="45">
        <f ca="1">ROUNDDOWN(O5/VLOOKUP(F5,テーブル!$E$3:$H$6,3,0),2)</f>
        <v>0.94</v>
      </c>
      <c r="R5" s="6">
        <f ca="1">ROUND(O5*VLOOKUP(F5,テーブル!$E$3:$H$6,4,0),-1)</f>
        <v>199700</v>
      </c>
      <c r="S5" s="6">
        <f ca="1">O5+P5-R5</f>
        <v>3887692</v>
      </c>
      <c r="T5" s="48" t="str">
        <f t="shared" ref="T5:T7" ca="1" si="1">IF(OR(O5&gt;=4100000,Q5&gt;=106%),"絶好調","")</f>
        <v/>
      </c>
    </row>
    <row r="6" spans="1:20">
      <c r="A6" s="15" t="s">
        <v>28</v>
      </c>
      <c r="B6" s="6">
        <f>DSUM('８月前期'!$A$1:$I$25,B$2,$A$14:$A$15)+DSUM('８月後期'!$A$1:$I$25,B$2,$A$14:$A$15)</f>
        <v>992</v>
      </c>
      <c r="C6" s="6">
        <f>DSUM('８月前期'!$A$1:$I$25,C$2,$A$14:$A$15)+DSUM('８月後期'!$A$1:$I$25,C$2,$A$14:$A$15)</f>
        <v>2655690</v>
      </c>
      <c r="D6" s="5">
        <f>DSUM('８月前期'!$A$1:$I$25,D$2,$A$14:$A$15)+DSUM('８月後期'!$A$1:$I$25,D$2,$A$14:$A$15)</f>
        <v>112744</v>
      </c>
      <c r="F6" s="3">
        <v>101</v>
      </c>
      <c r="G6" s="4" t="str">
        <f>VLOOKUP(F6,テーブル!$E$3:$H$6,2,0)</f>
        <v>佐々木電機</v>
      </c>
      <c r="H6" s="6">
        <f ca="1">DSUM(INDIRECT($H$2&amp;"!$A$1:$I$25"),H$3,$F$11:$F$12)</f>
        <v>760</v>
      </c>
      <c r="I6" s="6">
        <f ca="1">DSUM(INDIRECT($H$2&amp;"!$A$1:$I$25"),I$3,$F$11:$F$12)</f>
        <v>1811740</v>
      </c>
      <c r="J6" s="6">
        <f ca="1">DSUM(INDIRECT($H$2&amp;"!$A$1:$I$25"),J$3,$F$11:$F$12)</f>
        <v>80110</v>
      </c>
      <c r="K6" s="6">
        <f ca="1">DSUM(INDIRECT($K$2&amp;"!$A$1:$I$25"),K$3,$F$11:$F$12)</f>
        <v>786</v>
      </c>
      <c r="L6" s="6">
        <f ca="1">DSUM(INDIRECT($K$2&amp;"!$A$1:$I$25"),L$3,$F$11:$F$12)</f>
        <v>1918310</v>
      </c>
      <c r="M6" s="6">
        <f ca="1">DSUM(INDIRECT($K$2&amp;"!$A$1:$I$25"),M$3,$F$11:$F$12)</f>
        <v>83767</v>
      </c>
      <c r="N6" s="6">
        <f t="shared" ca="1" si="0"/>
        <v>1546</v>
      </c>
      <c r="O6" s="6">
        <f t="shared" ca="1" si="0"/>
        <v>3730050</v>
      </c>
      <c r="P6" s="6">
        <f t="shared" ca="1" si="0"/>
        <v>163877</v>
      </c>
      <c r="Q6" s="45">
        <f ca="1">ROUNDDOWN(O6/VLOOKUP(F6,テーブル!$E$3:$H$6,3,0),2)</f>
        <v>1.06</v>
      </c>
      <c r="R6" s="6">
        <f ca="1">ROUND(O6*VLOOKUP(F6,テーブル!$E$3:$H$6,4,0),-1)</f>
        <v>182770</v>
      </c>
      <c r="S6" s="6">
        <f ca="1">O6+P6-R6</f>
        <v>3711157</v>
      </c>
      <c r="T6" s="48" t="str">
        <f t="shared" ca="1" si="1"/>
        <v>絶好調</v>
      </c>
    </row>
    <row r="7" spans="1:20">
      <c r="A7" s="15" t="s">
        <v>29</v>
      </c>
      <c r="B7" s="6">
        <f>DSUM('８月前期'!$A$1:$I$25,B$2,$B$14:$B$15)+DSUM('８月後期'!$A$1:$I$25,B$2,$B$14:$B$15)</f>
        <v>1047</v>
      </c>
      <c r="C7" s="6">
        <f>DSUM('８月前期'!$A$1:$I$25,C$2,$B$14:$B$15)+DSUM('８月後期'!$A$1:$I$25,C$2,$B$14:$B$15)</f>
        <v>2282270</v>
      </c>
      <c r="D7" s="5">
        <f>DSUM('８月前期'!$A$1:$I$25,D$2,$B$14:$B$15)+DSUM('８月後期'!$A$1:$I$25,D$2,$B$14:$B$15)</f>
        <v>108309</v>
      </c>
      <c r="F7" s="3">
        <v>102</v>
      </c>
      <c r="G7" s="4" t="str">
        <f>VLOOKUP(F7,テーブル!$E$3:$H$6,2,0)</f>
        <v>電気天国堂</v>
      </c>
      <c r="H7" s="6">
        <f ca="1">DSUM(INDIRECT($H$2&amp;"!$A$1:$I$25"),H$3,$G$11:$G$12)</f>
        <v>594</v>
      </c>
      <c r="I7" s="6">
        <f ca="1">DSUM(INDIRECT($H$2&amp;"!$A$1:$I$25"),I$3,$G$11:$G$12)</f>
        <v>1479610</v>
      </c>
      <c r="J7" s="6">
        <f ca="1">DSUM(INDIRECT($H$2&amp;"!$A$1:$I$25"),J$3,$G$11:$G$12)</f>
        <v>71325</v>
      </c>
      <c r="K7" s="6">
        <f ca="1">DSUM(INDIRECT($K$2&amp;"!$A$1:$I$25"),K$3,$G$11:$G$12)</f>
        <v>847</v>
      </c>
      <c r="L7" s="6">
        <f ca="1">DSUM(INDIRECT($K$2&amp;"!$A$1:$I$25"),L$3,$G$11:$G$12)</f>
        <v>2057450</v>
      </c>
      <c r="M7" s="6">
        <f ca="1">DSUM(INDIRECT($K$2&amp;"!$A$1:$I$25"),M$3,$G$11:$G$12)</f>
        <v>90338</v>
      </c>
      <c r="N7" s="6">
        <f t="shared" ca="1" si="0"/>
        <v>1441</v>
      </c>
      <c r="O7" s="6">
        <f t="shared" ca="1" si="0"/>
        <v>3537060</v>
      </c>
      <c r="P7" s="6">
        <f t="shared" ca="1" si="0"/>
        <v>161663</v>
      </c>
      <c r="Q7" s="45">
        <f ca="1">ROUNDDOWN(O7/VLOOKUP(F7,テーブル!$E$3:$H$6,3,0),2)</f>
        <v>0.93</v>
      </c>
      <c r="R7" s="6">
        <f ca="1">ROUND(O7*VLOOKUP(F7,テーブル!$E$3:$H$6,4,0),-1)</f>
        <v>162700</v>
      </c>
      <c r="S7" s="6">
        <f ca="1">O7+P7-R7</f>
        <v>3536023</v>
      </c>
      <c r="T7" s="48" t="str">
        <f t="shared" ca="1" si="1"/>
        <v/>
      </c>
    </row>
    <row r="8" spans="1:20">
      <c r="A8" s="15" t="s">
        <v>30</v>
      </c>
      <c r="B8" s="6">
        <f>DSUM('８月前期'!$A$1:$I$25,B$2,$C$14:$C$15)+DSUM('８月後期'!$A$1:$I$25,B$2,$C$14:$C$15)</f>
        <v>940</v>
      </c>
      <c r="C8" s="6">
        <f>DSUM('８月前期'!$A$1:$I$25,C$2,$C$14:$C$15)+DSUM('８月後期'!$A$1:$I$25,C$2,$C$14:$C$15)</f>
        <v>2321090</v>
      </c>
      <c r="D8" s="5">
        <f>DSUM('８月前期'!$A$1:$I$25,D$2,$C$14:$C$15)+DSUM('８月後期'!$A$1:$I$25,D$2,$C$14:$C$15)</f>
        <v>100130</v>
      </c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7"/>
    </row>
    <row r="9" spans="1:20" ht="14.25" thickBot="1">
      <c r="A9" s="3"/>
      <c r="B9" s="4"/>
      <c r="C9" s="4"/>
      <c r="D9" s="7"/>
      <c r="F9" s="8"/>
      <c r="G9" s="9" t="s">
        <v>0</v>
      </c>
      <c r="H9" s="10">
        <f t="shared" ref="H9:O9" ca="1" si="2">SUM(H4:H7)</f>
        <v>3146</v>
      </c>
      <c r="I9" s="10">
        <f t="shared" ca="1" si="2"/>
        <v>7592420</v>
      </c>
      <c r="J9" s="10">
        <f t="shared" ca="1" si="2"/>
        <v>337901</v>
      </c>
      <c r="K9" s="10">
        <f t="shared" ca="1" si="2"/>
        <v>3180</v>
      </c>
      <c r="L9" s="10">
        <f t="shared" ca="1" si="2"/>
        <v>7692740</v>
      </c>
      <c r="M9" s="10">
        <f t="shared" ca="1" si="2"/>
        <v>340115</v>
      </c>
      <c r="N9" s="10">
        <f t="shared" ca="1" si="2"/>
        <v>6326</v>
      </c>
      <c r="O9" s="10">
        <f t="shared" ca="1" si="2"/>
        <v>15285160</v>
      </c>
      <c r="P9" s="10">
        <f ca="1">SUM(P4:P7)</f>
        <v>678016</v>
      </c>
      <c r="Q9" s="10"/>
      <c r="R9" s="10">
        <f ca="1">SUM(R4:R7)</f>
        <v>713370</v>
      </c>
      <c r="S9" s="10">
        <f ca="1">SUM(S4:S7)</f>
        <v>15249806</v>
      </c>
      <c r="T9" s="27"/>
    </row>
    <row r="10" spans="1:20" ht="14.25" thickBot="1">
      <c r="A10" s="26" t="s">
        <v>0</v>
      </c>
      <c r="B10" s="10">
        <f>SUM(B3:B8)</f>
        <v>6326</v>
      </c>
      <c r="C10" s="10">
        <f t="shared" ref="C10:D10" si="3">SUM(C3:C8)</f>
        <v>15285160</v>
      </c>
      <c r="D10" s="27">
        <f t="shared" si="3"/>
        <v>678016</v>
      </c>
      <c r="H10" s="18"/>
      <c r="I10" s="18"/>
      <c r="J10" s="18"/>
      <c r="K10" s="18"/>
      <c r="L10" s="18"/>
      <c r="N10" s="18"/>
      <c r="O10" s="18"/>
    </row>
    <row r="11" spans="1:20" ht="14.25" thickBot="1">
      <c r="F11" s="17" t="s">
        <v>7</v>
      </c>
      <c r="G11" s="17" t="s">
        <v>7</v>
      </c>
      <c r="H11" s="17" t="s">
        <v>7</v>
      </c>
      <c r="I11" s="17" t="s">
        <v>7</v>
      </c>
      <c r="J11" s="18"/>
      <c r="K11" s="18"/>
      <c r="M11" s="18"/>
    </row>
    <row r="12" spans="1:20" ht="14.25" thickBot="1">
      <c r="A12" s="17" t="s">
        <v>4</v>
      </c>
      <c r="B12" s="46" t="s">
        <v>4</v>
      </c>
      <c r="C12" s="46" t="s">
        <v>4</v>
      </c>
      <c r="F12" s="11">
        <v>101</v>
      </c>
      <c r="G12" s="11">
        <v>102</v>
      </c>
      <c r="H12" s="11">
        <v>103</v>
      </c>
      <c r="I12" s="11">
        <v>104</v>
      </c>
      <c r="K12" s="20"/>
      <c r="L12" s="22"/>
      <c r="O12" s="25"/>
    </row>
    <row r="13" spans="1:20" ht="14.25" thickBot="1">
      <c r="A13" s="19" t="s">
        <v>25</v>
      </c>
      <c r="B13" s="47" t="s">
        <v>26</v>
      </c>
      <c r="C13" s="47" t="s">
        <v>27</v>
      </c>
    </row>
    <row r="14" spans="1:20">
      <c r="A14" s="17" t="s">
        <v>4</v>
      </c>
      <c r="B14" s="46" t="s">
        <v>4</v>
      </c>
      <c r="C14" s="46" t="s">
        <v>4</v>
      </c>
    </row>
    <row r="15" spans="1:20" ht="14.25" thickBot="1">
      <c r="A15" s="19" t="s">
        <v>28</v>
      </c>
      <c r="B15" s="47" t="s">
        <v>29</v>
      </c>
      <c r="C15" s="47" t="s">
        <v>30</v>
      </c>
    </row>
  </sheetData>
  <sortState xmlns:xlrd2="http://schemas.microsoft.com/office/spreadsheetml/2017/richdata2" ref="F4:T7">
    <sortCondition descending="1" ref="S4:S7"/>
  </sortState>
  <mergeCells count="5">
    <mergeCell ref="A1:D1"/>
    <mergeCell ref="F1:T1"/>
    <mergeCell ref="H2:J2"/>
    <mergeCell ref="K2:M2"/>
    <mergeCell ref="N2:P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８月前期</vt:lpstr>
      <vt:lpstr>８月後期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2022-07-29T07:06:42Z</cp:lastPrinted>
  <dcterms:created xsi:type="dcterms:W3CDTF">2012-06-19T05:36:06Z</dcterms:created>
  <dcterms:modified xsi:type="dcterms:W3CDTF">2023-01-18T04:51:49Z</dcterms:modified>
</cp:coreProperties>
</file>