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_imazu\Desktop\SPS模範解答\模範解答\"/>
    </mc:Choice>
  </mc:AlternateContent>
  <xr:revisionPtr revIDLastSave="0" documentId="13_ncr:1_{7A893D8D-5F8F-42AD-AEBB-DB4906E85261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テーブル" sheetId="4" r:id="rId1"/>
    <sheet name="仕入データ表" sheetId="5" r:id="rId2"/>
    <sheet name="売上データ表" sheetId="6" r:id="rId3"/>
    <sheet name="計算表" sheetId="7" r:id="rId4"/>
  </sheets>
  <definedNames>
    <definedName name="_xlnm._FilterDatabase" localSheetId="0" hidden="1">テーブル!#REF!</definedName>
    <definedName name="_xlnm._FilterDatabase" localSheetId="3" hidden="1">計算表!#REF!</definedName>
    <definedName name="_xlnm._FilterDatabase" localSheetId="1" hidden="1">仕入データ表!#REF!</definedName>
    <definedName name="_xlnm._FilterDatabase" localSheetId="2" hidden="1">売上データ表!$A$1:$F$22</definedName>
  </definedNames>
  <calcPr calcId="191029"/>
</workbook>
</file>

<file path=xl/calcChain.xml><?xml version="1.0" encoding="utf-8"?>
<calcChain xmlns="http://schemas.openxmlformats.org/spreadsheetml/2006/main">
  <c r="K3" i="7" l="1"/>
  <c r="K4" i="7"/>
  <c r="K5" i="7"/>
  <c r="K6" i="7"/>
  <c r="J6" i="7"/>
  <c r="J5" i="7"/>
  <c r="J4" i="7"/>
  <c r="J3" i="7"/>
  <c r="F4" i="7"/>
  <c r="F5" i="7"/>
  <c r="F6" i="7"/>
  <c r="F7" i="7"/>
  <c r="F8" i="7"/>
  <c r="F9" i="7"/>
  <c r="F10" i="7"/>
  <c r="F3" i="7"/>
  <c r="B27" i="5"/>
  <c r="D27" i="6"/>
  <c r="E2" i="6"/>
  <c r="D3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" i="6"/>
  <c r="E3" i="6" l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B4" i="7"/>
  <c r="B5" i="7"/>
  <c r="B6" i="7"/>
  <c r="B7" i="7"/>
  <c r="B8" i="7"/>
  <c r="B9" i="7"/>
  <c r="B10" i="7"/>
  <c r="B3" i="7"/>
  <c r="D4" i="7" l="1"/>
  <c r="D5" i="7"/>
  <c r="D6" i="7"/>
  <c r="D7" i="7"/>
  <c r="D8" i="7"/>
  <c r="D9" i="7"/>
  <c r="D10" i="7"/>
  <c r="C4" i="7"/>
  <c r="C5" i="7"/>
  <c r="C6" i="7"/>
  <c r="C7" i="7"/>
  <c r="C8" i="7"/>
  <c r="C9" i="7"/>
  <c r="C10" i="7"/>
  <c r="C3" i="7"/>
  <c r="E3" i="7" s="1"/>
  <c r="F7" i="6" l="1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3" i="6"/>
  <c r="F4" i="6"/>
  <c r="F5" i="6"/>
  <c r="F6" i="6"/>
  <c r="J8" i="7" l="1"/>
  <c r="G3" i="7"/>
  <c r="E8" i="7"/>
  <c r="G8" i="7" s="1"/>
  <c r="E10" i="7"/>
  <c r="G10" i="7" s="1"/>
  <c r="E9" i="7"/>
  <c r="G9" i="7" s="1"/>
  <c r="E7" i="7"/>
  <c r="G7" i="7" s="1"/>
  <c r="E6" i="7"/>
  <c r="G6" i="7" s="1"/>
  <c r="E5" i="7"/>
  <c r="G5" i="7" s="1"/>
  <c r="E4" i="7"/>
  <c r="G4" i="7" s="1"/>
  <c r="D2" i="5"/>
  <c r="D3" i="5"/>
  <c r="D4" i="5"/>
  <c r="E4" i="5" s="1"/>
  <c r="D5" i="5"/>
  <c r="E5" i="5" s="1"/>
  <c r="D6" i="5"/>
  <c r="E6" i="5" s="1"/>
  <c r="D7" i="5"/>
  <c r="E7" i="5" s="1"/>
  <c r="D8" i="5"/>
  <c r="E8" i="5" s="1"/>
  <c r="D9" i="5"/>
  <c r="E9" i="5" s="1"/>
  <c r="D10" i="5"/>
  <c r="E10" i="5" s="1"/>
  <c r="D11" i="5"/>
  <c r="E11" i="5" s="1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L5" i="7" l="1"/>
  <c r="M5" i="7" s="1"/>
  <c r="L6" i="7"/>
  <c r="M6" i="7" s="1"/>
  <c r="L3" i="7"/>
  <c r="M3" i="7" s="1"/>
  <c r="E25" i="5"/>
  <c r="E18" i="5"/>
  <c r="E21" i="5"/>
  <c r="E23" i="5"/>
  <c r="E19" i="5"/>
  <c r="E15" i="5"/>
  <c r="E22" i="5"/>
  <c r="E14" i="5"/>
  <c r="E24" i="5"/>
  <c r="E20" i="5"/>
  <c r="E16" i="5"/>
  <c r="E12" i="5"/>
  <c r="E17" i="5"/>
  <c r="E13" i="5"/>
  <c r="E3" i="5"/>
  <c r="E2" i="5" l="1"/>
  <c r="E27" i="5" s="1"/>
  <c r="D27" i="5" l="1"/>
  <c r="F2" i="6" l="1"/>
  <c r="C12" i="7"/>
  <c r="F27" i="6" l="1"/>
  <c r="E12" i="7"/>
  <c r="D12" i="7"/>
  <c r="G12" i="7"/>
  <c r="L4" i="7" l="1"/>
  <c r="M4" i="7" s="1"/>
  <c r="K8" i="7"/>
  <c r="F12" i="7"/>
  <c r="L8" i="7" l="1"/>
  <c r="M8" i="7"/>
  <c r="N3" i="7" l="1"/>
  <c r="N4" i="7"/>
  <c r="N6" i="7"/>
  <c r="N5" i="7"/>
  <c r="N8" i="7" l="1"/>
</calcChain>
</file>

<file path=xl/sharedStrings.xml><?xml version="1.0" encoding="utf-8"?>
<sst xmlns="http://schemas.openxmlformats.org/spreadsheetml/2006/main" count="97" uniqueCount="54">
  <si>
    <t>得ＣＯ</t>
  </si>
  <si>
    <t>得意先名</t>
  </si>
  <si>
    <t>商ＣＯ</t>
  </si>
  <si>
    <t>売上額</t>
  </si>
  <si>
    <t>商品名</t>
  </si>
  <si>
    <t>諸経費</t>
  </si>
  <si>
    <t>請求額</t>
  </si>
  <si>
    <t>合　計</t>
    <rPh sb="0" eb="1">
      <t>ア</t>
    </rPh>
    <rPh sb="2" eb="3">
      <t>ケイ</t>
    </rPh>
    <phoneticPr fontId="3"/>
  </si>
  <si>
    <t>原価</t>
    <rPh sb="0" eb="2">
      <t>ゲンカ</t>
    </rPh>
    <phoneticPr fontId="2"/>
  </si>
  <si>
    <t>仕入額</t>
    <rPh sb="0" eb="2">
      <t>シイレ</t>
    </rPh>
    <phoneticPr fontId="2"/>
  </si>
  <si>
    <t>仕入数</t>
    <rPh sb="0" eb="2">
      <t>シイレ</t>
    </rPh>
    <rPh sb="2" eb="3">
      <t>スウ</t>
    </rPh>
    <phoneticPr fontId="2"/>
  </si>
  <si>
    <t xml:space="preserve"> </t>
    <phoneticPr fontId="2"/>
  </si>
  <si>
    <t>売上数</t>
    <rPh sb="0" eb="2">
      <t>ウリアゲ</t>
    </rPh>
    <rPh sb="2" eb="3">
      <t>スウ</t>
    </rPh>
    <phoneticPr fontId="2"/>
  </si>
  <si>
    <t>売上額</t>
    <rPh sb="0" eb="2">
      <t>ウリアゲ</t>
    </rPh>
    <rPh sb="2" eb="3">
      <t>ガク</t>
    </rPh>
    <phoneticPr fontId="2"/>
  </si>
  <si>
    <t>売価</t>
    <rPh sb="0" eb="2">
      <t>バイカ</t>
    </rPh>
    <phoneticPr fontId="2"/>
  </si>
  <si>
    <t>定価</t>
    <rPh sb="0" eb="2">
      <t>テイカ</t>
    </rPh>
    <phoneticPr fontId="2"/>
  </si>
  <si>
    <t>区分</t>
    <rPh sb="0" eb="2">
      <t>クブン</t>
    </rPh>
    <phoneticPr fontId="2"/>
  </si>
  <si>
    <t>期末在庫数</t>
    <rPh sb="0" eb="1">
      <t>キ</t>
    </rPh>
    <rPh sb="1" eb="2">
      <t>マツ</t>
    </rPh>
    <rPh sb="2" eb="4">
      <t>ザイコ</t>
    </rPh>
    <rPh sb="4" eb="5">
      <t>スウ</t>
    </rPh>
    <phoneticPr fontId="2"/>
  </si>
  <si>
    <t>期首在庫数</t>
    <rPh sb="0" eb="2">
      <t>キシュ</t>
    </rPh>
    <rPh sb="2" eb="5">
      <t>ザイコスウ</t>
    </rPh>
    <phoneticPr fontId="2"/>
  </si>
  <si>
    <t>値引額</t>
    <rPh sb="0" eb="2">
      <t>ネビキ</t>
    </rPh>
    <rPh sb="2" eb="3">
      <t>ガク</t>
    </rPh>
    <phoneticPr fontId="2"/>
  </si>
  <si>
    <t>＜割引率テーブル＞</t>
    <rPh sb="1" eb="3">
      <t>ワリビキ</t>
    </rPh>
    <rPh sb="3" eb="4">
      <t>リツ</t>
    </rPh>
    <phoneticPr fontId="2"/>
  </si>
  <si>
    <t>割引率</t>
    <rPh sb="0" eb="1">
      <t>ワリ</t>
    </rPh>
    <phoneticPr fontId="2"/>
  </si>
  <si>
    <t>得　意　先　別　計　算　表</t>
    <phoneticPr fontId="2"/>
  </si>
  <si>
    <t>利益額</t>
    <rPh sb="0" eb="2">
      <t>リエキ</t>
    </rPh>
    <rPh sb="2" eb="3">
      <t>ガク</t>
    </rPh>
    <phoneticPr fontId="2"/>
  </si>
  <si>
    <t>在庫見積額</t>
    <rPh sb="0" eb="2">
      <t>ザイコ</t>
    </rPh>
    <rPh sb="2" eb="4">
      <t>ミツモリ</t>
    </rPh>
    <rPh sb="4" eb="5">
      <t>ガク</t>
    </rPh>
    <phoneticPr fontId="2"/>
  </si>
  <si>
    <t>101Y</t>
  </si>
  <si>
    <t>101Y</t>
    <phoneticPr fontId="2"/>
  </si>
  <si>
    <t>102Z</t>
  </si>
  <si>
    <t>102Z</t>
    <phoneticPr fontId="2"/>
  </si>
  <si>
    <t>103X</t>
  </si>
  <si>
    <t>103X</t>
    <phoneticPr fontId="2"/>
  </si>
  <si>
    <t>104Y</t>
    <phoneticPr fontId="2"/>
  </si>
  <si>
    <t>X</t>
    <phoneticPr fontId="2"/>
  </si>
  <si>
    <t>Y</t>
    <phoneticPr fontId="2"/>
  </si>
  <si>
    <t>Z</t>
    <phoneticPr fontId="2"/>
  </si>
  <si>
    <t>山川商店</t>
    <rPh sb="0" eb="2">
      <t>ヤマカワ</t>
    </rPh>
    <rPh sb="2" eb="4">
      <t>ショウテン</t>
    </rPh>
    <phoneticPr fontId="2"/>
  </si>
  <si>
    <t>ＳＰ総業</t>
    <rPh sb="2" eb="4">
      <t>ソウギョウ</t>
    </rPh>
    <phoneticPr fontId="2"/>
  </si>
  <si>
    <t>ナカムラ</t>
  </si>
  <si>
    <t>ナカムラ</t>
    <phoneticPr fontId="3"/>
  </si>
  <si>
    <t>鈴村商事</t>
    <rPh sb="0" eb="2">
      <t>スズムラ</t>
    </rPh>
    <rPh sb="2" eb="4">
      <t>ショウジ</t>
    </rPh>
    <phoneticPr fontId="2"/>
  </si>
  <si>
    <t>販促金</t>
    <rPh sb="0" eb="3">
      <t>ハンソクキンキン</t>
    </rPh>
    <phoneticPr fontId="2"/>
  </si>
  <si>
    <t>商　品　別　計　算　表</t>
    <rPh sb="4" eb="5">
      <t>ベツ</t>
    </rPh>
    <rPh sb="6" eb="7">
      <t>ケイ</t>
    </rPh>
    <rPh sb="8" eb="9">
      <t>サン</t>
    </rPh>
    <rPh sb="10" eb="11">
      <t>ヒョウ</t>
    </rPh>
    <phoneticPr fontId="2"/>
  </si>
  <si>
    <t>合 計</t>
    <phoneticPr fontId="2"/>
  </si>
  <si>
    <t>商品Ａ</t>
    <rPh sb="0" eb="2">
      <t>ショウヒン</t>
    </rPh>
    <phoneticPr fontId="2"/>
  </si>
  <si>
    <t>商品Ｂ</t>
    <rPh sb="0" eb="2">
      <t>ショウヒン</t>
    </rPh>
    <phoneticPr fontId="2"/>
  </si>
  <si>
    <t>商品Ｃ</t>
    <rPh sb="0" eb="2">
      <t>ショウヒン</t>
    </rPh>
    <phoneticPr fontId="2"/>
  </si>
  <si>
    <t>商品Ｄ</t>
    <rPh sb="0" eb="2">
      <t>ショウヒン</t>
    </rPh>
    <phoneticPr fontId="2"/>
  </si>
  <si>
    <t>商品Ｅ</t>
    <rPh sb="0" eb="2">
      <t>ショウヒン</t>
    </rPh>
    <phoneticPr fontId="2"/>
  </si>
  <si>
    <t>商品Ｆ</t>
    <rPh sb="0" eb="2">
      <t>ショウヒン</t>
    </rPh>
    <phoneticPr fontId="2"/>
  </si>
  <si>
    <t>商品Ｇ</t>
    <rPh sb="0" eb="2">
      <t>ショウヒン</t>
    </rPh>
    <phoneticPr fontId="2"/>
  </si>
  <si>
    <t>商品Ｈ</t>
    <rPh sb="0" eb="2">
      <t>ショウヒン</t>
    </rPh>
    <phoneticPr fontId="2"/>
  </si>
  <si>
    <t>＜商品テーブル＞</t>
    <phoneticPr fontId="2"/>
  </si>
  <si>
    <t>＜得意先テーブル＞</t>
    <phoneticPr fontId="2"/>
  </si>
  <si>
    <t>得意先名</t>
    <rPh sb="0" eb="3">
      <t>トクイサキ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</si>
</sst>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.0%"/>
  </numFmts>
  <fonts count="6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明朝"/>
      <family val="2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3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12" xfId="0" applyFill="1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6" fontId="4" fillId="0" borderId="5" xfId="1" applyNumberFormat="1" applyFont="1" applyBorder="1">
      <alignment vertical="center"/>
    </xf>
    <xf numFmtId="38" fontId="4" fillId="0" borderId="1" xfId="1" applyFont="1" applyBorder="1">
      <alignment vertical="center"/>
    </xf>
    <xf numFmtId="38" fontId="0" fillId="0" borderId="0" xfId="0" applyNumberForma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Border="1">
      <alignment vertical="center"/>
    </xf>
    <xf numFmtId="38" fontId="4" fillId="0" borderId="1" xfId="0" applyNumberFormat="1" applyFont="1" applyBorder="1">
      <alignment vertical="center"/>
    </xf>
    <xf numFmtId="0" fontId="4" fillId="0" borderId="5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38" fontId="4" fillId="0" borderId="3" xfId="0" applyNumberFormat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2" xfId="1" applyFont="1" applyBorder="1">
      <alignment vertical="center"/>
    </xf>
    <xf numFmtId="176" fontId="0" fillId="0" borderId="0" xfId="5" applyNumberFormat="1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0" fillId="0" borderId="5" xfId="1" applyFon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13" xfId="0" applyFill="1" applyBorder="1">
      <alignment vertical="center"/>
    </xf>
    <xf numFmtId="38" fontId="0" fillId="0" borderId="3" xfId="1" applyFont="1" applyFill="1" applyBorder="1">
      <alignment vertical="center"/>
    </xf>
    <xf numFmtId="0" fontId="0" fillId="0" borderId="3" xfId="0" applyFill="1" applyBorder="1">
      <alignment vertical="center"/>
    </xf>
    <xf numFmtId="38" fontId="0" fillId="0" borderId="4" xfId="1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14" xfId="0" applyFill="1" applyBorder="1">
      <alignment vertical="center"/>
    </xf>
    <xf numFmtId="0" fontId="0" fillId="0" borderId="14" xfId="0" applyBorder="1">
      <alignment vertical="center"/>
    </xf>
    <xf numFmtId="6" fontId="4" fillId="0" borderId="4" xfId="6" applyFont="1" applyBorder="1">
      <alignment vertical="center"/>
    </xf>
    <xf numFmtId="0" fontId="0" fillId="0" borderId="2" xfId="0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>
      <alignment vertical="center"/>
    </xf>
  </cellXfs>
  <cellStyles count="7">
    <cellStyle name="パーセント" xfId="5" builtinId="5"/>
    <cellStyle name="パーセント 2" xfId="2" xr:uid="{00000000-0005-0000-0000-000000000000}"/>
    <cellStyle name="桁区切り" xfId="1" builtinId="6"/>
    <cellStyle name="桁区切り 2" xfId="3" xr:uid="{00000000-0005-0000-0000-000002000000}"/>
    <cellStyle name="通貨" xfId="6" builtinId="7"/>
    <cellStyle name="標準" xfId="0" builtinId="0"/>
    <cellStyle name="標準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>
                <a:latin typeface="ＭＳ 明朝" pitchFamily="17" charset="-128"/>
                <a:ea typeface="ＭＳ 明朝" pitchFamily="17" charset="-128"/>
              </a:defRPr>
            </a:pPr>
            <a:r>
              <a:rPr lang="ja-JP" altLang="en-US"/>
              <a:t>商品別利益額の構成比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計算表!$F$2</c:f>
              <c:strCache>
                <c:ptCount val="1"/>
                <c:pt idx="0">
                  <c:v>利益額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計算表!$B$3:$B$10</c:f>
              <c:strCache>
                <c:ptCount val="8"/>
                <c:pt idx="0">
                  <c:v>商品Ａ</c:v>
                </c:pt>
                <c:pt idx="1">
                  <c:v>商品Ｂ</c:v>
                </c:pt>
                <c:pt idx="2">
                  <c:v>商品Ｃ</c:v>
                </c:pt>
                <c:pt idx="3">
                  <c:v>商品Ｄ</c:v>
                </c:pt>
                <c:pt idx="4">
                  <c:v>商品Ｅ</c:v>
                </c:pt>
                <c:pt idx="5">
                  <c:v>商品Ｆ</c:v>
                </c:pt>
                <c:pt idx="6">
                  <c:v>商品Ｇ</c:v>
                </c:pt>
                <c:pt idx="7">
                  <c:v>商品Ｈ</c:v>
                </c:pt>
              </c:strCache>
            </c:strRef>
          </c:cat>
          <c:val>
            <c:numRef>
              <c:f>計算表!$F$3:$F$10</c:f>
              <c:numCache>
                <c:formatCode>#,##0_);[Red]\(#,##0\)</c:formatCode>
                <c:ptCount val="8"/>
                <c:pt idx="0">
                  <c:v>285568</c:v>
                </c:pt>
                <c:pt idx="1">
                  <c:v>160073</c:v>
                </c:pt>
                <c:pt idx="2">
                  <c:v>121627</c:v>
                </c:pt>
                <c:pt idx="3">
                  <c:v>201713</c:v>
                </c:pt>
                <c:pt idx="4">
                  <c:v>377682</c:v>
                </c:pt>
                <c:pt idx="5">
                  <c:v>131140</c:v>
                </c:pt>
                <c:pt idx="6">
                  <c:v>271326</c:v>
                </c:pt>
                <c:pt idx="7">
                  <c:v>207364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86-46A4-BD18-0E66B939EAC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 paperSize="13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100" b="0"/>
            </a:pPr>
            <a:r>
              <a:rPr lang="ja-JP" sz="1100" b="0"/>
              <a:t>得意先別請求額の比較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計算表!$M$2</c:f>
              <c:strCache>
                <c:ptCount val="1"/>
                <c:pt idx="0">
                  <c:v>請求額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strRef>
              <c:f>計算表!$I$3:$I$6</c:f>
              <c:strCache>
                <c:ptCount val="4"/>
                <c:pt idx="0">
                  <c:v>山川商店</c:v>
                </c:pt>
                <c:pt idx="1">
                  <c:v>鈴村商事</c:v>
                </c:pt>
                <c:pt idx="2">
                  <c:v>ＳＰ総業</c:v>
                </c:pt>
                <c:pt idx="3">
                  <c:v>ナカムラ</c:v>
                </c:pt>
              </c:strCache>
            </c:strRef>
          </c:cat>
          <c:val>
            <c:numRef>
              <c:f>計算表!$M$3:$M$6</c:f>
              <c:numCache>
                <c:formatCode>#,##0_);[Red]\(#,##0\)</c:formatCode>
                <c:ptCount val="4"/>
                <c:pt idx="0">
                  <c:v>1848850</c:v>
                </c:pt>
                <c:pt idx="1">
                  <c:v>1624364</c:v>
                </c:pt>
                <c:pt idx="2">
                  <c:v>1608578</c:v>
                </c:pt>
                <c:pt idx="3">
                  <c:v>1458601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22-464B-B34F-81E95CFD2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196032"/>
        <c:axId val="113210112"/>
      </c:barChart>
      <c:catAx>
        <c:axId val="113196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3210112"/>
        <c:crosses val="autoZero"/>
        <c:auto val="1"/>
        <c:lblAlgn val="ctr"/>
        <c:lblOffset val="100"/>
        <c:noMultiLvlLbl val="0"/>
      </c:catAx>
      <c:valAx>
        <c:axId val="11321011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13196032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legend>
      <c:legendPos val="r"/>
      <c:overlay val="0"/>
      <c:spPr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ln>
      <a:solidFill>
        <a:sysClr val="windowText" lastClr="000000"/>
      </a:solidFill>
    </a:ln>
  </c:spPr>
  <c:txPr>
    <a:bodyPr/>
    <a:lstStyle/>
    <a:p>
      <a:pPr>
        <a:defRPr sz="1100"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80962</xdr:rowOff>
    </xdr:from>
    <xdr:to>
      <xdr:col>6</xdr:col>
      <xdr:colOff>514350</xdr:colOff>
      <xdr:row>29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13</xdr:row>
      <xdr:rowOff>80962</xdr:rowOff>
    </xdr:from>
    <xdr:to>
      <xdr:col>14</xdr:col>
      <xdr:colOff>19050</xdr:colOff>
      <xdr:row>29</xdr:row>
      <xdr:rowOff>142875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zoomScaleNormal="100" workbookViewId="0"/>
  </sheetViews>
  <sheetFormatPr defaultRowHeight="13.5"/>
  <cols>
    <col min="1" max="1" width="7.5" customWidth="1"/>
    <col min="2" max="2" width="7.5" bestFit="1" customWidth="1"/>
    <col min="3" max="3" width="6.5" bestFit="1" customWidth="1"/>
    <col min="4" max="4" width="11.625" bestFit="1" customWidth="1"/>
    <col min="5" max="5" width="4.25" customWidth="1"/>
    <col min="6" max="6" width="5.5" bestFit="1" customWidth="1"/>
    <col min="7" max="7" width="7.5" bestFit="1" customWidth="1"/>
    <col min="9" max="9" width="7.5" bestFit="1" customWidth="1"/>
    <col min="10" max="10" width="9.5" bestFit="1" customWidth="1"/>
  </cols>
  <sheetData>
    <row r="1" spans="1:10">
      <c r="A1" t="s">
        <v>51</v>
      </c>
      <c r="F1" t="s">
        <v>20</v>
      </c>
      <c r="I1" t="s">
        <v>52</v>
      </c>
    </row>
    <row r="2" spans="1:10">
      <c r="A2" s="8" t="s">
        <v>2</v>
      </c>
      <c r="B2" s="8" t="s">
        <v>4</v>
      </c>
      <c r="C2" s="19" t="s">
        <v>15</v>
      </c>
      <c r="D2" s="19" t="s">
        <v>18</v>
      </c>
      <c r="F2" s="8" t="s">
        <v>16</v>
      </c>
      <c r="G2" s="8" t="s">
        <v>21</v>
      </c>
      <c r="I2" s="8" t="s">
        <v>0</v>
      </c>
      <c r="J2" s="8" t="s">
        <v>1</v>
      </c>
    </row>
    <row r="3" spans="1:10">
      <c r="A3" s="7">
        <v>11</v>
      </c>
      <c r="B3" s="7" t="s">
        <v>43</v>
      </c>
      <c r="C3" s="1">
        <v>2480</v>
      </c>
      <c r="D3" s="20">
        <v>73</v>
      </c>
      <c r="F3" s="7" t="s">
        <v>32</v>
      </c>
      <c r="G3" s="14">
        <v>9.0999999999999998E-2</v>
      </c>
      <c r="I3" s="7" t="s">
        <v>26</v>
      </c>
      <c r="J3" s="20" t="s">
        <v>39</v>
      </c>
    </row>
    <row r="4" spans="1:10">
      <c r="A4" s="7">
        <v>12</v>
      </c>
      <c r="B4" s="7" t="s">
        <v>44</v>
      </c>
      <c r="C4" s="1">
        <v>2610</v>
      </c>
      <c r="D4" s="20">
        <v>69</v>
      </c>
      <c r="F4" s="7" t="s">
        <v>33</v>
      </c>
      <c r="G4" s="14">
        <v>8.2000000000000003E-2</v>
      </c>
      <c r="I4" s="7" t="s">
        <v>28</v>
      </c>
      <c r="J4" s="20" t="s">
        <v>38</v>
      </c>
    </row>
    <row r="5" spans="1:10">
      <c r="A5" s="7">
        <v>21</v>
      </c>
      <c r="B5" s="7" t="s">
        <v>45</v>
      </c>
      <c r="C5" s="1">
        <v>1930</v>
      </c>
      <c r="D5" s="20">
        <v>46</v>
      </c>
      <c r="F5" s="7" t="s">
        <v>34</v>
      </c>
      <c r="G5" s="14">
        <v>7.2999999999999995E-2</v>
      </c>
      <c r="I5" s="7" t="s">
        <v>30</v>
      </c>
      <c r="J5" s="20" t="s">
        <v>36</v>
      </c>
    </row>
    <row r="6" spans="1:10">
      <c r="A6" s="7">
        <v>22</v>
      </c>
      <c r="B6" s="7" t="s">
        <v>46</v>
      </c>
      <c r="C6" s="1">
        <v>3160</v>
      </c>
      <c r="D6" s="20">
        <v>53</v>
      </c>
      <c r="I6" s="7" t="s">
        <v>31</v>
      </c>
      <c r="J6" s="20" t="s">
        <v>35</v>
      </c>
    </row>
    <row r="7" spans="1:10">
      <c r="A7" s="7">
        <v>31</v>
      </c>
      <c r="B7" s="7" t="s">
        <v>47</v>
      </c>
      <c r="C7" s="1">
        <v>2880</v>
      </c>
      <c r="D7" s="20">
        <v>64</v>
      </c>
    </row>
    <row r="8" spans="1:10">
      <c r="A8" s="7">
        <v>32</v>
      </c>
      <c r="B8" s="7" t="s">
        <v>48</v>
      </c>
      <c r="C8" s="1">
        <v>2310</v>
      </c>
      <c r="D8" s="20">
        <v>71</v>
      </c>
    </row>
    <row r="9" spans="1:10">
      <c r="A9" s="7">
        <v>41</v>
      </c>
      <c r="B9" s="7" t="s">
        <v>49</v>
      </c>
      <c r="C9" s="1">
        <v>2230</v>
      </c>
      <c r="D9" s="20">
        <v>53</v>
      </c>
    </row>
    <row r="10" spans="1:10">
      <c r="A10" s="7">
        <v>42</v>
      </c>
      <c r="B10" s="7" t="s">
        <v>50</v>
      </c>
      <c r="C10" s="1">
        <v>3040</v>
      </c>
      <c r="D10" s="20">
        <v>62</v>
      </c>
    </row>
    <row r="25" spans="2:2">
      <c r="B25" t="s">
        <v>11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7"/>
  <sheetViews>
    <sheetView zoomScaleNormal="100" workbookViewId="0"/>
  </sheetViews>
  <sheetFormatPr defaultRowHeight="13.5"/>
  <cols>
    <col min="1" max="1" width="7.5" bestFit="1" customWidth="1"/>
    <col min="2" max="2" width="7.5" customWidth="1"/>
    <col min="3" max="3" width="6.5" bestFit="1" customWidth="1"/>
    <col min="4" max="4" width="8.5" bestFit="1" customWidth="1"/>
    <col min="5" max="5" width="10.5" bestFit="1" customWidth="1"/>
  </cols>
  <sheetData>
    <row r="1" spans="1:5">
      <c r="A1" s="4" t="s">
        <v>2</v>
      </c>
      <c r="B1" s="5" t="s">
        <v>10</v>
      </c>
      <c r="C1" s="5" t="s">
        <v>8</v>
      </c>
      <c r="D1" s="5" t="s">
        <v>19</v>
      </c>
      <c r="E1" s="6" t="s">
        <v>9</v>
      </c>
    </row>
    <row r="2" spans="1:5">
      <c r="A2" s="40">
        <v>11</v>
      </c>
      <c r="B2" s="41">
        <v>146</v>
      </c>
      <c r="C2" s="41">
        <v>1720</v>
      </c>
      <c r="D2" s="1">
        <f>ROUNDUP(IF(OR(B2&gt;=140,C2&gt;=2500),C2*B2*8%,C2*B2*6%),-1)</f>
        <v>20090</v>
      </c>
      <c r="E2" s="3">
        <f t="shared" ref="E2:E3" si="0">C2*B2-D2</f>
        <v>231030</v>
      </c>
    </row>
    <row r="3" spans="1:5">
      <c r="A3" s="40">
        <v>12</v>
      </c>
      <c r="B3" s="41">
        <v>130</v>
      </c>
      <c r="C3" s="41">
        <v>2130</v>
      </c>
      <c r="D3" s="1">
        <f t="shared" ref="D3:D25" si="1">ROUNDUP(IF(OR(B3&gt;=140,C3&gt;=2500),C3*B3*8%,C3*B3*6%),-1)</f>
        <v>16620</v>
      </c>
      <c r="E3" s="3">
        <f t="shared" si="0"/>
        <v>260280</v>
      </c>
    </row>
    <row r="4" spans="1:5">
      <c r="A4" s="40">
        <v>21</v>
      </c>
      <c r="B4" s="41">
        <v>143</v>
      </c>
      <c r="C4" s="41">
        <v>1560</v>
      </c>
      <c r="D4" s="1">
        <f t="shared" si="1"/>
        <v>17850</v>
      </c>
      <c r="E4" s="3">
        <f t="shared" ref="E4:E11" si="2">C4*B4-D4</f>
        <v>205230</v>
      </c>
    </row>
    <row r="5" spans="1:5">
      <c r="A5" s="40">
        <v>22</v>
      </c>
      <c r="B5" s="41">
        <v>121</v>
      </c>
      <c r="C5" s="41">
        <v>2400</v>
      </c>
      <c r="D5" s="1">
        <f t="shared" si="1"/>
        <v>17430</v>
      </c>
      <c r="E5" s="3">
        <f t="shared" si="2"/>
        <v>272970</v>
      </c>
    </row>
    <row r="6" spans="1:5">
      <c r="A6" s="51">
        <v>31</v>
      </c>
      <c r="B6" s="41">
        <v>104</v>
      </c>
      <c r="C6" s="41">
        <v>1930</v>
      </c>
      <c r="D6" s="1">
        <f t="shared" si="1"/>
        <v>12050</v>
      </c>
      <c r="E6" s="3">
        <f t="shared" si="2"/>
        <v>188670</v>
      </c>
    </row>
    <row r="7" spans="1:5">
      <c r="A7" s="51">
        <v>32</v>
      </c>
      <c r="B7" s="41">
        <v>83</v>
      </c>
      <c r="C7" s="41">
        <v>2180</v>
      </c>
      <c r="D7" s="1">
        <f t="shared" si="1"/>
        <v>10860</v>
      </c>
      <c r="E7" s="3">
        <f t="shared" si="2"/>
        <v>170080</v>
      </c>
    </row>
    <row r="8" spans="1:5">
      <c r="A8" s="51">
        <v>41</v>
      </c>
      <c r="B8" s="41">
        <v>119</v>
      </c>
      <c r="C8" s="41">
        <v>1390</v>
      </c>
      <c r="D8" s="1">
        <f t="shared" si="1"/>
        <v>9930</v>
      </c>
      <c r="E8" s="3">
        <f t="shared" si="2"/>
        <v>155480</v>
      </c>
    </row>
    <row r="9" spans="1:5">
      <c r="A9" s="51">
        <v>42</v>
      </c>
      <c r="B9" s="41">
        <v>91</v>
      </c>
      <c r="C9" s="41">
        <v>2340</v>
      </c>
      <c r="D9" s="1">
        <f t="shared" si="1"/>
        <v>12780</v>
      </c>
      <c r="E9" s="3">
        <f t="shared" si="2"/>
        <v>200160</v>
      </c>
    </row>
    <row r="10" spans="1:5">
      <c r="A10" s="40">
        <v>11</v>
      </c>
      <c r="B10" s="41">
        <v>126</v>
      </c>
      <c r="C10" s="41">
        <v>1860</v>
      </c>
      <c r="D10" s="1">
        <f t="shared" si="1"/>
        <v>14070</v>
      </c>
      <c r="E10" s="3">
        <f t="shared" si="2"/>
        <v>220290</v>
      </c>
    </row>
    <row r="11" spans="1:5">
      <c r="A11" s="40">
        <v>12</v>
      </c>
      <c r="B11" s="41">
        <v>76</v>
      </c>
      <c r="C11" s="41">
        <v>2260</v>
      </c>
      <c r="D11" s="1">
        <f t="shared" si="1"/>
        <v>10310</v>
      </c>
      <c r="E11" s="3">
        <f t="shared" si="2"/>
        <v>161450</v>
      </c>
    </row>
    <row r="12" spans="1:5">
      <c r="A12" s="40">
        <v>21</v>
      </c>
      <c r="B12" s="41">
        <v>130</v>
      </c>
      <c r="C12" s="41">
        <v>1420</v>
      </c>
      <c r="D12" s="1">
        <f t="shared" si="1"/>
        <v>11080</v>
      </c>
      <c r="E12" s="3">
        <f t="shared" ref="E12:E25" si="3">C12*B12-D12</f>
        <v>173520</v>
      </c>
    </row>
    <row r="13" spans="1:5">
      <c r="A13" s="40">
        <v>22</v>
      </c>
      <c r="B13" s="41">
        <v>73</v>
      </c>
      <c r="C13" s="41">
        <v>2510</v>
      </c>
      <c r="D13" s="1">
        <f t="shared" si="1"/>
        <v>14660</v>
      </c>
      <c r="E13" s="3">
        <f t="shared" si="3"/>
        <v>168570</v>
      </c>
    </row>
    <row r="14" spans="1:5">
      <c r="A14" s="51">
        <v>31</v>
      </c>
      <c r="B14" s="41">
        <v>155</v>
      </c>
      <c r="C14" s="41">
        <v>1660</v>
      </c>
      <c r="D14" s="1">
        <f t="shared" si="1"/>
        <v>20590</v>
      </c>
      <c r="E14" s="3">
        <f t="shared" si="3"/>
        <v>236710</v>
      </c>
    </row>
    <row r="15" spans="1:5">
      <c r="A15" s="51">
        <v>32</v>
      </c>
      <c r="B15" s="41">
        <v>140</v>
      </c>
      <c r="C15" s="41">
        <v>1960</v>
      </c>
      <c r="D15" s="1">
        <f t="shared" si="1"/>
        <v>21960</v>
      </c>
      <c r="E15" s="3">
        <f t="shared" si="3"/>
        <v>252440</v>
      </c>
    </row>
    <row r="16" spans="1:5">
      <c r="A16" s="51">
        <v>41</v>
      </c>
      <c r="B16" s="41">
        <v>146</v>
      </c>
      <c r="C16" s="41">
        <v>1380</v>
      </c>
      <c r="D16" s="1">
        <f t="shared" si="1"/>
        <v>16120</v>
      </c>
      <c r="E16" s="3">
        <f t="shared" si="3"/>
        <v>185360</v>
      </c>
    </row>
    <row r="17" spans="1:5">
      <c r="A17" s="51">
        <v>42</v>
      </c>
      <c r="B17" s="41">
        <v>86</v>
      </c>
      <c r="C17" s="41">
        <v>2330</v>
      </c>
      <c r="D17" s="1">
        <f t="shared" si="1"/>
        <v>12030</v>
      </c>
      <c r="E17" s="3">
        <f t="shared" si="3"/>
        <v>188350</v>
      </c>
    </row>
    <row r="18" spans="1:5">
      <c r="A18" s="40">
        <v>11</v>
      </c>
      <c r="B18" s="41">
        <v>106</v>
      </c>
      <c r="C18" s="41">
        <v>1820</v>
      </c>
      <c r="D18" s="1">
        <f t="shared" si="1"/>
        <v>11580</v>
      </c>
      <c r="E18" s="3">
        <f t="shared" si="3"/>
        <v>181340</v>
      </c>
    </row>
    <row r="19" spans="1:5">
      <c r="A19" s="40">
        <v>12</v>
      </c>
      <c r="B19" s="41">
        <v>90</v>
      </c>
      <c r="C19" s="41">
        <v>2010</v>
      </c>
      <c r="D19" s="1">
        <f t="shared" si="1"/>
        <v>10860</v>
      </c>
      <c r="E19" s="3">
        <f t="shared" si="3"/>
        <v>170040</v>
      </c>
    </row>
    <row r="20" spans="1:5">
      <c r="A20" s="40">
        <v>21</v>
      </c>
      <c r="B20" s="41">
        <v>156</v>
      </c>
      <c r="C20" s="41">
        <v>1300</v>
      </c>
      <c r="D20" s="1">
        <f t="shared" si="1"/>
        <v>16230</v>
      </c>
      <c r="E20" s="3">
        <f t="shared" si="3"/>
        <v>186570</v>
      </c>
    </row>
    <row r="21" spans="1:5">
      <c r="A21" s="40">
        <v>22</v>
      </c>
      <c r="B21" s="41">
        <v>92</v>
      </c>
      <c r="C21" s="41">
        <v>2220</v>
      </c>
      <c r="D21" s="1">
        <f t="shared" si="1"/>
        <v>12260</v>
      </c>
      <c r="E21" s="3">
        <f t="shared" si="3"/>
        <v>191980</v>
      </c>
    </row>
    <row r="22" spans="1:5">
      <c r="A22" s="51">
        <v>31</v>
      </c>
      <c r="B22" s="41">
        <v>128</v>
      </c>
      <c r="C22" s="41">
        <v>1690</v>
      </c>
      <c r="D22" s="1">
        <f t="shared" si="1"/>
        <v>12980</v>
      </c>
      <c r="E22" s="3">
        <f t="shared" si="3"/>
        <v>203340</v>
      </c>
    </row>
    <row r="23" spans="1:5">
      <c r="A23" s="51">
        <v>32</v>
      </c>
      <c r="B23" s="41">
        <v>81</v>
      </c>
      <c r="C23" s="41">
        <v>2120</v>
      </c>
      <c r="D23" s="1">
        <f t="shared" si="1"/>
        <v>10310</v>
      </c>
      <c r="E23" s="3">
        <f t="shared" si="3"/>
        <v>161410</v>
      </c>
    </row>
    <row r="24" spans="1:5">
      <c r="A24" s="51">
        <v>41</v>
      </c>
      <c r="B24" s="41">
        <v>123</v>
      </c>
      <c r="C24" s="41">
        <v>1220</v>
      </c>
      <c r="D24" s="1">
        <f t="shared" si="1"/>
        <v>9010</v>
      </c>
      <c r="E24" s="3">
        <f t="shared" si="3"/>
        <v>141050</v>
      </c>
    </row>
    <row r="25" spans="1:5">
      <c r="A25" s="51">
        <v>42</v>
      </c>
      <c r="B25" s="41">
        <v>79</v>
      </c>
      <c r="C25" s="41">
        <v>2450</v>
      </c>
      <c r="D25" s="1">
        <f t="shared" si="1"/>
        <v>11620</v>
      </c>
      <c r="E25" s="3">
        <f t="shared" si="3"/>
        <v>181930</v>
      </c>
    </row>
    <row r="26" spans="1:5">
      <c r="A26" s="32"/>
      <c r="B26" s="1"/>
      <c r="C26" s="1"/>
      <c r="D26" s="1"/>
      <c r="E26" s="3"/>
    </row>
    <row r="27" spans="1:5" ht="14.25" thickBot="1">
      <c r="A27" s="33" t="s">
        <v>42</v>
      </c>
      <c r="B27" s="17">
        <f>SUM(B2:B25)</f>
        <v>2724</v>
      </c>
      <c r="C27" s="17"/>
      <c r="D27" s="17">
        <f>SUM(D2:D25)</f>
        <v>333280</v>
      </c>
      <c r="E27" s="2">
        <f t="shared" ref="E27" si="4">SUM(E2:E25)</f>
        <v>4688250</v>
      </c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0"/>
  <sheetViews>
    <sheetView zoomScaleNormal="100" workbookViewId="0"/>
  </sheetViews>
  <sheetFormatPr defaultRowHeight="13.5"/>
  <cols>
    <col min="1" max="1" width="7.5" bestFit="1" customWidth="1"/>
    <col min="2" max="2" width="9.5" bestFit="1" customWidth="1"/>
    <col min="3" max="3" width="7.5" customWidth="1"/>
    <col min="4" max="4" width="7.5" bestFit="1" customWidth="1"/>
    <col min="5" max="5" width="6.5" bestFit="1" customWidth="1"/>
    <col min="6" max="6" width="10.5" bestFit="1" customWidth="1"/>
    <col min="7" max="7" width="6.25" customWidth="1"/>
    <col min="8" max="8" width="7.5" customWidth="1"/>
    <col min="9" max="9" width="8.125" customWidth="1"/>
    <col min="10" max="10" width="10.5" bestFit="1" customWidth="1"/>
    <col min="11" max="11" width="7.5" bestFit="1" customWidth="1"/>
    <col min="12" max="12" width="10.5" bestFit="1" customWidth="1"/>
    <col min="13" max="13" width="11.5" customWidth="1"/>
    <col min="14" max="14" width="5.625" customWidth="1"/>
    <col min="15" max="15" width="11.625" bestFit="1" customWidth="1"/>
    <col min="16" max="16" width="7.5" bestFit="1" customWidth="1"/>
    <col min="17" max="17" width="10.5" bestFit="1" customWidth="1"/>
    <col min="18" max="18" width="7.5" bestFit="1" customWidth="1"/>
    <col min="19" max="19" width="10.5" bestFit="1" customWidth="1"/>
    <col min="20" max="20" width="8.75" customWidth="1"/>
    <col min="22" max="22" width="19.5" customWidth="1"/>
  </cols>
  <sheetData>
    <row r="1" spans="1:6">
      <c r="A1" s="52" t="s">
        <v>0</v>
      </c>
      <c r="B1" s="42" t="s">
        <v>53</v>
      </c>
      <c r="C1" s="42" t="s">
        <v>2</v>
      </c>
      <c r="D1" s="42" t="s">
        <v>12</v>
      </c>
      <c r="E1" s="42" t="s">
        <v>14</v>
      </c>
      <c r="F1" s="43" t="s">
        <v>13</v>
      </c>
    </row>
    <row r="2" spans="1:6">
      <c r="A2" s="51" t="s">
        <v>25</v>
      </c>
      <c r="B2" s="39" t="str">
        <f>VLOOKUP(A2,テーブル!$I$3:$J$6,2,0)</f>
        <v>鈴村商事</v>
      </c>
      <c r="C2" s="39">
        <v>11</v>
      </c>
      <c r="D2" s="39">
        <v>128</v>
      </c>
      <c r="E2" s="44">
        <f>ROUNDDOWN(VLOOKUP(C2,テーブル!$A$3:$D$10,3,0)*(1-VLOOKUP(RIGHT(A2,1),テーブル!$F$3:$G$5,2,0)),0)</f>
        <v>2276</v>
      </c>
      <c r="F2" s="45">
        <f t="shared" ref="F2:F25" si="0">E2*D2</f>
        <v>291328</v>
      </c>
    </row>
    <row r="3" spans="1:6">
      <c r="A3" s="51" t="s">
        <v>25</v>
      </c>
      <c r="B3" s="39" t="str">
        <f>VLOOKUP(A3,テーブル!$I$3:$J$6,2,0)</f>
        <v>鈴村商事</v>
      </c>
      <c r="C3" s="39">
        <v>12</v>
      </c>
      <c r="D3" s="39">
        <v>82</v>
      </c>
      <c r="E3" s="44">
        <f>ROUNDDOWN(VLOOKUP(C3,テーブル!$A$3:$D$10,3,0)*(1-VLOOKUP(RIGHT(A3,1),テーブル!$F$3:$G$5,2,0)),0)</f>
        <v>2395</v>
      </c>
      <c r="F3" s="45">
        <f t="shared" si="0"/>
        <v>196390</v>
      </c>
    </row>
    <row r="4" spans="1:6">
      <c r="A4" s="51" t="s">
        <v>25</v>
      </c>
      <c r="B4" s="39" t="str">
        <f>VLOOKUP(A4,テーブル!$I$3:$J$6,2,0)</f>
        <v>鈴村商事</v>
      </c>
      <c r="C4" s="39">
        <v>21</v>
      </c>
      <c r="D4" s="39">
        <v>95</v>
      </c>
      <c r="E4" s="44">
        <f>ROUNDDOWN(VLOOKUP(C4,テーブル!$A$3:$D$10,3,0)*(1-VLOOKUP(RIGHT(A4,1),テーブル!$F$3:$G$5,2,0)),0)</f>
        <v>1771</v>
      </c>
      <c r="F4" s="45">
        <f t="shared" si="0"/>
        <v>168245</v>
      </c>
    </row>
    <row r="5" spans="1:6">
      <c r="A5" s="51" t="s">
        <v>25</v>
      </c>
      <c r="B5" s="39" t="str">
        <f>VLOOKUP(A5,テーブル!$I$3:$J$6,2,0)</f>
        <v>鈴村商事</v>
      </c>
      <c r="C5" s="39">
        <v>31</v>
      </c>
      <c r="D5" s="39">
        <v>129</v>
      </c>
      <c r="E5" s="44">
        <f>ROUNDDOWN(VLOOKUP(C5,テーブル!$A$3:$D$10,3,0)*(1-VLOOKUP(RIGHT(A5,1),テーブル!$F$3:$G$5,2,0)),0)</f>
        <v>2643</v>
      </c>
      <c r="F5" s="45">
        <f t="shared" si="0"/>
        <v>340947</v>
      </c>
    </row>
    <row r="6" spans="1:6">
      <c r="A6" s="51" t="s">
        <v>25</v>
      </c>
      <c r="B6" s="39" t="str">
        <f>VLOOKUP(A6,テーブル!$I$3:$J$6,2,0)</f>
        <v>鈴村商事</v>
      </c>
      <c r="C6" s="39">
        <v>41</v>
      </c>
      <c r="D6" s="39">
        <v>162</v>
      </c>
      <c r="E6" s="44">
        <f>ROUNDDOWN(VLOOKUP(C6,テーブル!$A$3:$D$10,3,0)*(1-VLOOKUP(RIGHT(A6,1),テーブル!$F$3:$G$5,2,0)),0)</f>
        <v>2047</v>
      </c>
      <c r="F6" s="45">
        <f t="shared" si="0"/>
        <v>331614</v>
      </c>
    </row>
    <row r="7" spans="1:6">
      <c r="A7" s="51" t="s">
        <v>25</v>
      </c>
      <c r="B7" s="39" t="str">
        <f>VLOOKUP(A7,テーブル!$I$3:$J$6,2,0)</f>
        <v>鈴村商事</v>
      </c>
      <c r="C7" s="39">
        <v>42</v>
      </c>
      <c r="D7" s="39">
        <v>98</v>
      </c>
      <c r="E7" s="44">
        <f>ROUNDDOWN(VLOOKUP(C7,テーブル!$A$3:$D$10,3,0)*(1-VLOOKUP(RIGHT(A7,1),テーブル!$F$3:$G$5,2,0)),0)</f>
        <v>2790</v>
      </c>
      <c r="F7" s="45">
        <f t="shared" si="0"/>
        <v>273420</v>
      </c>
    </row>
    <row r="8" spans="1:6">
      <c r="A8" s="51" t="s">
        <v>27</v>
      </c>
      <c r="B8" s="39" t="str">
        <f>VLOOKUP(A8,テーブル!$I$3:$J$6,2,0)</f>
        <v>ナカムラ</v>
      </c>
      <c r="C8" s="39">
        <v>11</v>
      </c>
      <c r="D8" s="39">
        <v>109</v>
      </c>
      <c r="E8" s="44">
        <f>ROUNDDOWN(VLOOKUP(C8,テーブル!$A$3:$D$10,3,0)*(1-VLOOKUP(RIGHT(A8,1),テーブル!$F$3:$G$5,2,0)),0)</f>
        <v>2298</v>
      </c>
      <c r="F8" s="45">
        <f t="shared" si="0"/>
        <v>250482</v>
      </c>
    </row>
    <row r="9" spans="1:6">
      <c r="A9" s="51" t="s">
        <v>27</v>
      </c>
      <c r="B9" s="39" t="str">
        <f>VLOOKUP(A9,テーブル!$I$3:$J$6,2,0)</f>
        <v>ナカムラ</v>
      </c>
      <c r="C9" s="39">
        <v>12</v>
      </c>
      <c r="D9" s="39">
        <v>92</v>
      </c>
      <c r="E9" s="44">
        <f>ROUNDDOWN(VLOOKUP(C9,テーブル!$A$3:$D$10,3,0)*(1-VLOOKUP(RIGHT(A9,1),テーブル!$F$3:$G$5,2,0)),0)</f>
        <v>2419</v>
      </c>
      <c r="F9" s="45">
        <f t="shared" si="0"/>
        <v>222548</v>
      </c>
    </row>
    <row r="10" spans="1:6">
      <c r="A10" s="51" t="s">
        <v>27</v>
      </c>
      <c r="B10" s="39" t="str">
        <f>VLOOKUP(A10,テーブル!$I$3:$J$6,2,0)</f>
        <v>ナカムラ</v>
      </c>
      <c r="C10" s="39">
        <v>22</v>
      </c>
      <c r="D10" s="39">
        <v>89</v>
      </c>
      <c r="E10" s="44">
        <f>ROUNDDOWN(VLOOKUP(C10,テーブル!$A$3:$D$10,3,0)*(1-VLOOKUP(RIGHT(A10,1),テーブル!$F$3:$G$5,2,0)),0)</f>
        <v>2929</v>
      </c>
      <c r="F10" s="45">
        <f t="shared" si="0"/>
        <v>260681</v>
      </c>
    </row>
    <row r="11" spans="1:6">
      <c r="A11" s="51" t="s">
        <v>27</v>
      </c>
      <c r="B11" s="39" t="str">
        <f>VLOOKUP(A11,テーブル!$I$3:$J$6,2,0)</f>
        <v>ナカムラ</v>
      </c>
      <c r="C11" s="39">
        <v>32</v>
      </c>
      <c r="D11" s="39">
        <v>129</v>
      </c>
      <c r="E11" s="44">
        <f>ROUNDDOWN(VLOOKUP(C11,テーブル!$A$3:$D$10,3,0)*(1-VLOOKUP(RIGHT(A11,1),テーブル!$F$3:$G$5,2,0)),0)</f>
        <v>2141</v>
      </c>
      <c r="F11" s="45">
        <f t="shared" si="0"/>
        <v>276189</v>
      </c>
    </row>
    <row r="12" spans="1:6">
      <c r="A12" s="51" t="s">
        <v>27</v>
      </c>
      <c r="B12" s="39" t="str">
        <f>VLOOKUP(A12,テーブル!$I$3:$J$6,2,0)</f>
        <v>ナカムラ</v>
      </c>
      <c r="C12" s="39">
        <v>41</v>
      </c>
      <c r="D12" s="39">
        <v>101</v>
      </c>
      <c r="E12" s="44">
        <f>ROUNDDOWN(VLOOKUP(C12,テーブル!$A$3:$D$10,3,0)*(1-VLOOKUP(RIGHT(A12,1),テーブル!$F$3:$G$5,2,0)),0)</f>
        <v>2067</v>
      </c>
      <c r="F12" s="45">
        <f t="shared" si="0"/>
        <v>208767</v>
      </c>
    </row>
    <row r="13" spans="1:6">
      <c r="A13" s="51" t="s">
        <v>27</v>
      </c>
      <c r="B13" s="39" t="str">
        <f>VLOOKUP(A13,テーブル!$I$3:$J$6,2,0)</f>
        <v>ナカムラ</v>
      </c>
      <c r="C13" s="39">
        <v>42</v>
      </c>
      <c r="D13" s="39">
        <v>78</v>
      </c>
      <c r="E13" s="44">
        <f>ROUNDDOWN(VLOOKUP(C13,テーブル!$A$3:$D$10,3,0)*(1-VLOOKUP(RIGHT(A13,1),テーブル!$F$3:$G$5,2,0)),0)</f>
        <v>2818</v>
      </c>
      <c r="F13" s="45">
        <f t="shared" si="0"/>
        <v>219804</v>
      </c>
    </row>
    <row r="14" spans="1:6">
      <c r="A14" s="51" t="s">
        <v>29</v>
      </c>
      <c r="B14" s="39" t="str">
        <f>VLOOKUP(A14,テーブル!$I$3:$J$6,2,0)</f>
        <v>ＳＰ総業</v>
      </c>
      <c r="C14" s="39">
        <v>11</v>
      </c>
      <c r="D14" s="39">
        <v>167</v>
      </c>
      <c r="E14" s="44">
        <f>ROUNDDOWN(VLOOKUP(C14,テーブル!$A$3:$D$10,3,0)*(1-VLOOKUP(RIGHT(A14,1),テーブル!$F$3:$G$5,2,0)),0)</f>
        <v>2254</v>
      </c>
      <c r="F14" s="45">
        <f t="shared" si="0"/>
        <v>376418</v>
      </c>
    </row>
    <row r="15" spans="1:6">
      <c r="A15" s="51" t="s">
        <v>29</v>
      </c>
      <c r="B15" s="39" t="str">
        <f>VLOOKUP(A15,テーブル!$I$3:$J$6,2,0)</f>
        <v>ＳＰ総業</v>
      </c>
      <c r="C15" s="39">
        <v>21</v>
      </c>
      <c r="D15" s="39">
        <v>116</v>
      </c>
      <c r="E15" s="44">
        <f>ROUNDDOWN(VLOOKUP(C15,テーブル!$A$3:$D$10,3,0)*(1-VLOOKUP(RIGHT(A15,1),テーブル!$F$3:$G$5,2,0)),0)</f>
        <v>1754</v>
      </c>
      <c r="F15" s="45">
        <f t="shared" si="0"/>
        <v>203464</v>
      </c>
    </row>
    <row r="16" spans="1:6">
      <c r="A16" s="51" t="s">
        <v>29</v>
      </c>
      <c r="B16" s="39" t="str">
        <f>VLOOKUP(A16,テーブル!$I$3:$J$6,2,0)</f>
        <v>ＳＰ総業</v>
      </c>
      <c r="C16" s="39">
        <v>22</v>
      </c>
      <c r="D16" s="39">
        <v>91</v>
      </c>
      <c r="E16" s="44">
        <f>ROUNDDOWN(VLOOKUP(C16,テーブル!$A$3:$D$10,3,0)*(1-VLOOKUP(RIGHT(A16,1),テーブル!$F$3:$G$5,2,0)),0)</f>
        <v>2872</v>
      </c>
      <c r="F16" s="45">
        <f t="shared" si="0"/>
        <v>261352</v>
      </c>
    </row>
    <row r="17" spans="1:6">
      <c r="A17" s="51" t="s">
        <v>29</v>
      </c>
      <c r="B17" s="39" t="str">
        <f>VLOOKUP(A17,テーブル!$I$3:$J$6,2,0)</f>
        <v>ＳＰ総業</v>
      </c>
      <c r="C17" s="39">
        <v>31</v>
      </c>
      <c r="D17" s="39">
        <v>124</v>
      </c>
      <c r="E17" s="44">
        <f>ROUNDDOWN(VLOOKUP(C17,テーブル!$A$3:$D$10,3,0)*(1-VLOOKUP(RIGHT(A17,1),テーブル!$F$3:$G$5,2,0)),0)</f>
        <v>2617</v>
      </c>
      <c r="F17" s="45">
        <f t="shared" si="0"/>
        <v>324508</v>
      </c>
    </row>
    <row r="18" spans="1:6">
      <c r="A18" s="51" t="s">
        <v>29</v>
      </c>
      <c r="B18" s="39" t="str">
        <f>VLOOKUP(A18,テーブル!$I$3:$J$6,2,0)</f>
        <v>ＳＰ総業</v>
      </c>
      <c r="C18" s="39">
        <v>32</v>
      </c>
      <c r="D18" s="39">
        <v>99</v>
      </c>
      <c r="E18" s="44">
        <f>ROUNDDOWN(VLOOKUP(C18,テーブル!$A$3:$D$10,3,0)*(1-VLOOKUP(RIGHT(A18,1),テーブル!$F$3:$G$5,2,0)),0)</f>
        <v>2099</v>
      </c>
      <c r="F18" s="45">
        <f t="shared" si="0"/>
        <v>207801</v>
      </c>
    </row>
    <row r="19" spans="1:6">
      <c r="A19" s="51" t="s">
        <v>29</v>
      </c>
      <c r="B19" s="39" t="str">
        <f>VLOOKUP(A19,テーブル!$I$3:$J$6,2,0)</f>
        <v>ＳＰ総業</v>
      </c>
      <c r="C19" s="39">
        <v>41</v>
      </c>
      <c r="D19" s="39">
        <v>105</v>
      </c>
      <c r="E19" s="44">
        <f>ROUNDDOWN(VLOOKUP(C19,テーブル!$A$3:$D$10,3,0)*(1-VLOOKUP(RIGHT(A19,1),テーブル!$F$3:$G$5,2,0)),0)</f>
        <v>2027</v>
      </c>
      <c r="F19" s="45">
        <f t="shared" si="0"/>
        <v>212835</v>
      </c>
    </row>
    <row r="20" spans="1:6">
      <c r="A20" s="51" t="s">
        <v>31</v>
      </c>
      <c r="B20" s="39" t="str">
        <f>VLOOKUP(A20,テーブル!$I$3:$J$6,2,0)</f>
        <v>山川商店</v>
      </c>
      <c r="C20" s="39">
        <v>12</v>
      </c>
      <c r="D20" s="39">
        <v>139</v>
      </c>
      <c r="E20" s="44">
        <f>ROUNDDOWN(VLOOKUP(C20,テーブル!$A$3:$D$10,3,0)*(1-VLOOKUP(RIGHT(A20,1),テーブル!$F$3:$G$5,2,0)),0)</f>
        <v>2395</v>
      </c>
      <c r="F20" s="45">
        <f t="shared" si="0"/>
        <v>332905</v>
      </c>
    </row>
    <row r="21" spans="1:6">
      <c r="A21" s="51" t="s">
        <v>31</v>
      </c>
      <c r="B21" s="39" t="str">
        <f>VLOOKUP(A21,テーブル!$I$3:$J$6,2,0)</f>
        <v>山川商店</v>
      </c>
      <c r="C21" s="39">
        <v>21</v>
      </c>
      <c r="D21" s="39">
        <v>178</v>
      </c>
      <c r="E21" s="44">
        <f>ROUNDDOWN(VLOOKUP(C21,テーブル!$A$3:$D$10,3,0)*(1-VLOOKUP(RIGHT(A21,1),テーブル!$F$3:$G$5,2,0)),0)</f>
        <v>1771</v>
      </c>
      <c r="F21" s="45">
        <f t="shared" si="0"/>
        <v>315238</v>
      </c>
    </row>
    <row r="22" spans="1:6">
      <c r="A22" s="51" t="s">
        <v>31</v>
      </c>
      <c r="B22" s="39" t="str">
        <f>VLOOKUP(A22,テーブル!$I$3:$J$6,2,0)</f>
        <v>山川商店</v>
      </c>
      <c r="C22" s="39">
        <v>22</v>
      </c>
      <c r="D22" s="39">
        <v>108</v>
      </c>
      <c r="E22" s="44">
        <f>ROUNDDOWN(VLOOKUP(C22,テーブル!$A$3:$D$10,3,0)*(1-VLOOKUP(RIGHT(A22,1),テーブル!$F$3:$G$5,2,0)),0)</f>
        <v>2900</v>
      </c>
      <c r="F22" s="45">
        <f t="shared" si="0"/>
        <v>313200</v>
      </c>
    </row>
    <row r="23" spans="1:6">
      <c r="A23" s="51" t="s">
        <v>31</v>
      </c>
      <c r="B23" s="39" t="str">
        <f>VLOOKUP(A23,テーブル!$I$3:$J$6,2,0)</f>
        <v>山川商店</v>
      </c>
      <c r="C23" s="15">
        <v>31</v>
      </c>
      <c r="D23" s="15">
        <v>129</v>
      </c>
      <c r="E23" s="44">
        <f>ROUNDDOWN(VLOOKUP(C23,テーブル!$A$3:$D$10,3,0)*(1-VLOOKUP(RIGHT(A23,1),テーブル!$F$3:$G$5,2,0)),0)</f>
        <v>2643</v>
      </c>
      <c r="F23" s="45">
        <f t="shared" si="0"/>
        <v>340947</v>
      </c>
    </row>
    <row r="24" spans="1:6">
      <c r="A24" s="51" t="s">
        <v>31</v>
      </c>
      <c r="B24" s="39" t="str">
        <f>VLOOKUP(A24,テーブル!$I$3:$J$6,2,0)</f>
        <v>山川商店</v>
      </c>
      <c r="C24" s="15">
        <v>32</v>
      </c>
      <c r="D24" s="15">
        <v>109</v>
      </c>
      <c r="E24" s="44">
        <f>ROUNDDOWN(VLOOKUP(C24,テーブル!$A$3:$D$10,3,0)*(1-VLOOKUP(RIGHT(A24,1),テーブル!$F$3:$G$5,2,0)),0)</f>
        <v>2120</v>
      </c>
      <c r="F24" s="45">
        <f t="shared" si="0"/>
        <v>231080</v>
      </c>
    </row>
    <row r="25" spans="1:6">
      <c r="A25" s="51" t="s">
        <v>31</v>
      </c>
      <c r="B25" s="39" t="str">
        <f>VLOOKUP(A25,テーブル!$I$3:$J$6,2,0)</f>
        <v>山川商店</v>
      </c>
      <c r="C25" s="15">
        <v>42</v>
      </c>
      <c r="D25" s="15">
        <v>102</v>
      </c>
      <c r="E25" s="44">
        <f>ROUNDDOWN(VLOOKUP(C25,テーブル!$A$3:$D$10,3,0)*(1-VLOOKUP(RIGHT(A25,1),テーブル!$F$3:$G$5,2,0)),0)</f>
        <v>2790</v>
      </c>
      <c r="F25" s="45">
        <f t="shared" si="0"/>
        <v>284580</v>
      </c>
    </row>
    <row r="26" spans="1:6">
      <c r="A26" s="53"/>
      <c r="B26" s="46"/>
      <c r="C26" s="15"/>
      <c r="D26" s="15"/>
      <c r="E26" s="15"/>
      <c r="F26" s="47"/>
    </row>
    <row r="27" spans="1:6" ht="14.25" thickBot="1">
      <c r="A27" s="56"/>
      <c r="B27" s="18" t="s">
        <v>42</v>
      </c>
      <c r="C27" s="18"/>
      <c r="D27" s="48">
        <f>SUM(D2:D25)</f>
        <v>2759</v>
      </c>
      <c r="E27" s="49"/>
      <c r="F27" s="50">
        <f>SUM(F2:F25)</f>
        <v>6444743</v>
      </c>
    </row>
    <row r="30" spans="1:6">
      <c r="F30" s="23"/>
    </row>
  </sheetData>
  <sortState xmlns:xlrd2="http://schemas.microsoft.com/office/spreadsheetml/2017/richdata2" ref="A2:G22">
    <sortCondition ref="A2"/>
  </sortState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7"/>
  <sheetViews>
    <sheetView zoomScaleNormal="100" workbookViewId="0">
      <selection sqref="A1:G1"/>
    </sheetView>
  </sheetViews>
  <sheetFormatPr defaultRowHeight="13.5"/>
  <cols>
    <col min="1" max="1" width="7.5" customWidth="1"/>
    <col min="2" max="4" width="7.5" bestFit="1" customWidth="1"/>
    <col min="5" max="5" width="11.625" bestFit="1" customWidth="1"/>
    <col min="6" max="6" width="10.5" bestFit="1" customWidth="1"/>
    <col min="7" max="7" width="11.625" bestFit="1" customWidth="1"/>
    <col min="8" max="8" width="5.625" customWidth="1"/>
    <col min="9" max="10" width="9.5" bestFit="1" customWidth="1"/>
    <col min="11" max="11" width="10.5" bestFit="1" customWidth="1"/>
    <col min="12" max="12" width="9.5" bestFit="1" customWidth="1"/>
    <col min="13" max="13" width="10.5" bestFit="1" customWidth="1"/>
    <col min="14" max="14" width="9.5" bestFit="1" customWidth="1"/>
  </cols>
  <sheetData>
    <row r="1" spans="1:15" ht="14.25" thickBot="1">
      <c r="A1" s="57" t="s">
        <v>41</v>
      </c>
      <c r="B1" s="57"/>
      <c r="C1" s="57"/>
      <c r="D1" s="57"/>
      <c r="E1" s="57"/>
      <c r="F1" s="57"/>
      <c r="G1" s="57"/>
      <c r="I1" s="57" t="s">
        <v>22</v>
      </c>
      <c r="J1" s="57"/>
      <c r="K1" s="57"/>
      <c r="L1" s="57"/>
      <c r="M1" s="57"/>
      <c r="N1" s="57"/>
    </row>
    <row r="2" spans="1:15">
      <c r="A2" s="4" t="s">
        <v>2</v>
      </c>
      <c r="B2" s="5" t="s">
        <v>4</v>
      </c>
      <c r="C2" s="5" t="s">
        <v>10</v>
      </c>
      <c r="D2" s="5" t="s">
        <v>12</v>
      </c>
      <c r="E2" s="5" t="s">
        <v>17</v>
      </c>
      <c r="F2" s="5" t="s">
        <v>23</v>
      </c>
      <c r="G2" s="6" t="s">
        <v>24</v>
      </c>
      <c r="I2" s="24" t="s">
        <v>1</v>
      </c>
      <c r="J2" s="25" t="s">
        <v>12</v>
      </c>
      <c r="K2" s="25" t="s">
        <v>3</v>
      </c>
      <c r="L2" s="25" t="s">
        <v>5</v>
      </c>
      <c r="M2" s="25" t="s">
        <v>6</v>
      </c>
      <c r="N2" s="26" t="s">
        <v>40</v>
      </c>
    </row>
    <row r="3" spans="1:15">
      <c r="A3" s="9">
        <v>11</v>
      </c>
      <c r="B3" s="7" t="str">
        <f>VLOOKUP(A3,テーブル!$A$3:$D$10,2,0)</f>
        <v>商品Ａ</v>
      </c>
      <c r="C3" s="1">
        <f>SUMIF(仕入データ表!$A$2:$A$25,A3,仕入データ表!$B$2:$B$25)</f>
        <v>378</v>
      </c>
      <c r="D3" s="1">
        <f>SUMIF(売上データ表!$C$2:$C$25,A3,売上データ表!$D$2:$D$25)</f>
        <v>404</v>
      </c>
      <c r="E3" s="1">
        <f>VLOOKUP(A3,テーブル!$A$3:$D$10,4,0)+C3-D3</f>
        <v>47</v>
      </c>
      <c r="F3" s="1">
        <f>SUMIF(売上データ表!$C$2:$C$25,$A3,売上データ表!$F$2:$F$25)-SUMIF(仕入データ表!$A$2:$A$25,$A3,仕入データ表!$E$2:$E$25)</f>
        <v>285568</v>
      </c>
      <c r="G3" s="3">
        <f>ROUNDDOWN(VLOOKUP(A3,テーブル!$A$3:$D$10,3,0)*E3*0.7,-2)</f>
        <v>81500</v>
      </c>
      <c r="I3" s="27" t="s">
        <v>35</v>
      </c>
      <c r="J3" s="22">
        <f>DSUM(売上データ表!$A$1:$F$25,J$2,$I$10:$I$11)</f>
        <v>765</v>
      </c>
      <c r="K3" s="22">
        <f>DSUM(売上データ表!$A$1:$F$25,K$2,$I$10:$I$11)</f>
        <v>1817950</v>
      </c>
      <c r="L3" s="22">
        <f>ROUNDDOWN(IF(AND(J3&gt;700,K3&gt;1600000),K3*1.7%,K3*1.4%),-1)</f>
        <v>30900</v>
      </c>
      <c r="M3" s="28">
        <f>K3+L3</f>
        <v>1848850</v>
      </c>
      <c r="N3" s="21">
        <f>ROUND(200000*M3/$M$8,-2)</f>
        <v>56500</v>
      </c>
      <c r="O3" s="36"/>
    </row>
    <row r="4" spans="1:15">
      <c r="A4" s="9">
        <v>12</v>
      </c>
      <c r="B4" s="7" t="str">
        <f>VLOOKUP(A4,テーブル!$A$3:$D$10,2,0)</f>
        <v>商品Ｂ</v>
      </c>
      <c r="C4" s="1">
        <f>SUMIF(仕入データ表!$A$2:$A$25,A4,仕入データ表!$B$2:$B$25)</f>
        <v>296</v>
      </c>
      <c r="D4" s="1">
        <f>SUMIF(売上データ表!$C$2:$C$25,A4,売上データ表!$D$2:$D$25)</f>
        <v>313</v>
      </c>
      <c r="E4" s="1">
        <f>VLOOKUP(A4,テーブル!$A$3:$D$10,4,0)+C4-D4</f>
        <v>52</v>
      </c>
      <c r="F4" s="1">
        <f>SUMIF(売上データ表!$C$2:$C$25,$A4,売上データ表!$F$2:$F$25)-SUMIF(仕入データ表!$A$2:$A$25,$A4,仕入データ表!$E$2:$E$25)</f>
        <v>160073</v>
      </c>
      <c r="G4" s="3">
        <f>ROUNDDOWN(VLOOKUP(A4,テーブル!$A$3:$D$10,3,0)*E4*0.7,-2)</f>
        <v>95000</v>
      </c>
      <c r="I4" s="27" t="s">
        <v>39</v>
      </c>
      <c r="J4" s="22">
        <f>DSUM(売上データ表!$A$1:$F$25,J$2,$J$10:$J$11)</f>
        <v>694</v>
      </c>
      <c r="K4" s="22">
        <f>DSUM(売上データ表!$A$1:$F$25,K$2,$J$10:$J$11)</f>
        <v>1601944</v>
      </c>
      <c r="L4" s="22">
        <f t="shared" ref="L4:L6" si="0">ROUNDDOWN(IF(AND(J4&gt;700,K4&gt;1600000),K4*1.7%,K4*1.4%),-1)</f>
        <v>22420</v>
      </c>
      <c r="M4" s="28">
        <f>K4+L4</f>
        <v>1624364</v>
      </c>
      <c r="N4" s="21">
        <f>ROUND(200000*M4/$M$8,-2)</f>
        <v>49700</v>
      </c>
      <c r="O4" s="36"/>
    </row>
    <row r="5" spans="1:15">
      <c r="A5" s="9">
        <v>21</v>
      </c>
      <c r="B5" s="7" t="str">
        <f>VLOOKUP(A5,テーブル!$A$3:$D$10,2,0)</f>
        <v>商品Ｃ</v>
      </c>
      <c r="C5" s="1">
        <f>SUMIF(仕入データ表!$A$2:$A$25,A5,仕入データ表!$B$2:$B$25)</f>
        <v>429</v>
      </c>
      <c r="D5" s="1">
        <f>SUMIF(売上データ表!$C$2:$C$25,A5,売上データ表!$D$2:$D$25)</f>
        <v>389</v>
      </c>
      <c r="E5" s="1">
        <f>VLOOKUP(A5,テーブル!$A$3:$D$10,4,0)+C5-D5</f>
        <v>86</v>
      </c>
      <c r="F5" s="1">
        <f>SUMIF(売上データ表!$C$2:$C$25,$A5,売上データ表!$F$2:$F$25)-SUMIF(仕入データ表!$A$2:$A$25,$A5,仕入データ表!$E$2:$E$25)</f>
        <v>121627</v>
      </c>
      <c r="G5" s="3">
        <f>ROUNDDOWN(VLOOKUP(A5,テーブル!$A$3:$D$10,3,0)*E5*0.7,-2)</f>
        <v>116100</v>
      </c>
      <c r="I5" s="27" t="s">
        <v>36</v>
      </c>
      <c r="J5" s="22">
        <f>DSUM(売上データ表!$A$1:$F$25,J$2,$K$10:$K$11)</f>
        <v>702</v>
      </c>
      <c r="K5" s="22">
        <f>DSUM(売上データ表!$A$1:$F$25,K$2,$K$10:$K$11)</f>
        <v>1586378</v>
      </c>
      <c r="L5" s="22">
        <f t="shared" si="0"/>
        <v>22200</v>
      </c>
      <c r="M5" s="28">
        <f>K5+L5</f>
        <v>1608578</v>
      </c>
      <c r="N5" s="21">
        <f>ROUND(200000*M5/$M$8,-2)</f>
        <v>49200</v>
      </c>
      <c r="O5" s="36"/>
    </row>
    <row r="6" spans="1:15">
      <c r="A6" s="9">
        <v>22</v>
      </c>
      <c r="B6" s="7" t="str">
        <f>VLOOKUP(A6,テーブル!$A$3:$D$10,2,0)</f>
        <v>商品Ｄ</v>
      </c>
      <c r="C6" s="1">
        <f>SUMIF(仕入データ表!$A$2:$A$25,A6,仕入データ表!$B$2:$B$25)</f>
        <v>286</v>
      </c>
      <c r="D6" s="1">
        <f>SUMIF(売上データ表!$C$2:$C$25,A6,売上データ表!$D$2:$D$25)</f>
        <v>288</v>
      </c>
      <c r="E6" s="1">
        <f>VLOOKUP(A6,テーブル!$A$3:$D$10,4,0)+C6-D6</f>
        <v>51</v>
      </c>
      <c r="F6" s="1">
        <f>SUMIF(売上データ表!$C$2:$C$25,$A6,売上データ表!$F$2:$F$25)-SUMIF(仕入データ表!$A$2:$A$25,$A6,仕入データ表!$E$2:$E$25)</f>
        <v>201713</v>
      </c>
      <c r="G6" s="3">
        <f>ROUNDDOWN(VLOOKUP(A6,テーブル!$A$3:$D$10,3,0)*E6*0.7,-2)</f>
        <v>112800</v>
      </c>
      <c r="I6" s="27" t="s">
        <v>37</v>
      </c>
      <c r="J6" s="22">
        <f>DSUM(売上データ表!$A$1:$F$25,J$2,$L$10:$L$11)</f>
        <v>598</v>
      </c>
      <c r="K6" s="22">
        <f>DSUM(売上データ表!$A$1:$F$25,K$2,$L$10:$L$11)</f>
        <v>1438471</v>
      </c>
      <c r="L6" s="22">
        <f t="shared" si="0"/>
        <v>20130</v>
      </c>
      <c r="M6" s="28">
        <f>K6+L6</f>
        <v>1458601</v>
      </c>
      <c r="N6" s="21">
        <f>ROUND(200000*M6/$M$8,-2)</f>
        <v>44600</v>
      </c>
      <c r="O6" s="36"/>
    </row>
    <row r="7" spans="1:15">
      <c r="A7" s="9">
        <v>31</v>
      </c>
      <c r="B7" s="7" t="str">
        <f>VLOOKUP(A7,テーブル!$A$3:$D$10,2,0)</f>
        <v>商品Ｅ</v>
      </c>
      <c r="C7" s="1">
        <f>SUMIF(仕入データ表!$A$2:$A$25,A7,仕入データ表!$B$2:$B$25)</f>
        <v>387</v>
      </c>
      <c r="D7" s="1">
        <f>SUMIF(売上データ表!$C$2:$C$25,A7,売上データ表!$D$2:$D$25)</f>
        <v>382</v>
      </c>
      <c r="E7" s="1">
        <f>VLOOKUP(A7,テーブル!$A$3:$D$10,4,0)+C7-D7</f>
        <v>69</v>
      </c>
      <c r="F7" s="1">
        <f>SUMIF(売上データ表!$C$2:$C$25,$A7,売上データ表!$F$2:$F$25)-SUMIF(仕入データ表!$A$2:$A$25,$A7,仕入データ表!$E$2:$E$25)</f>
        <v>377682</v>
      </c>
      <c r="G7" s="3">
        <f>ROUNDDOWN(VLOOKUP(A7,テーブル!$A$3:$D$10,3,0)*E7*0.7,-2)</f>
        <v>139100</v>
      </c>
      <c r="I7" s="27"/>
      <c r="J7" s="22"/>
      <c r="K7" s="20"/>
      <c r="L7" s="20"/>
      <c r="M7" s="20"/>
      <c r="N7" s="29"/>
    </row>
    <row r="8" spans="1:15" ht="14.25" thickBot="1">
      <c r="A8" s="9">
        <v>32</v>
      </c>
      <c r="B8" s="7" t="str">
        <f>VLOOKUP(A8,テーブル!$A$3:$D$10,2,0)</f>
        <v>商品Ｆ</v>
      </c>
      <c r="C8" s="1">
        <f>SUMIF(仕入データ表!$A$2:$A$25,A8,仕入データ表!$B$2:$B$25)</f>
        <v>304</v>
      </c>
      <c r="D8" s="1">
        <f>SUMIF(売上データ表!$C$2:$C$25,A8,売上データ表!$D$2:$D$25)</f>
        <v>337</v>
      </c>
      <c r="E8" s="1">
        <f>VLOOKUP(A8,テーブル!$A$3:$D$10,4,0)+C8-D8</f>
        <v>38</v>
      </c>
      <c r="F8" s="1">
        <f>SUMIF(売上データ表!$C$2:$C$25,$A8,売上データ表!$F$2:$F$25)-SUMIF(仕入データ表!$A$2:$A$25,$A8,仕入データ表!$E$2:$E$25)</f>
        <v>131140</v>
      </c>
      <c r="G8" s="3">
        <f>ROUNDDOWN(VLOOKUP(A8,テーブル!$A$3:$D$10,3,0)*E8*0.7,-2)</f>
        <v>61400</v>
      </c>
      <c r="I8" s="30" t="s">
        <v>7</v>
      </c>
      <c r="J8" s="31">
        <f>SUM(J3:J6)</f>
        <v>2759</v>
      </c>
      <c r="K8" s="31">
        <f t="shared" ref="K8" si="1">SUM(K3:K6)</f>
        <v>6444743</v>
      </c>
      <c r="L8" s="31">
        <f>SUM(L3:L6)</f>
        <v>95650</v>
      </c>
      <c r="M8" s="31">
        <f>SUM(M3:M6)</f>
        <v>6540393</v>
      </c>
      <c r="N8" s="55">
        <f>SUM(N3:N6)</f>
        <v>200000</v>
      </c>
    </row>
    <row r="9" spans="1:15" ht="14.25" thickBot="1">
      <c r="A9" s="9">
        <v>41</v>
      </c>
      <c r="B9" s="7" t="str">
        <f>VLOOKUP(A9,テーブル!$A$3:$D$10,2,0)</f>
        <v>商品Ｇ</v>
      </c>
      <c r="C9" s="1">
        <f>SUMIF(仕入データ表!$A$2:$A$25,A9,仕入データ表!$B$2:$B$25)</f>
        <v>388</v>
      </c>
      <c r="D9" s="1">
        <f>SUMIF(売上データ表!$C$2:$C$25,A9,売上データ表!$D$2:$D$25)</f>
        <v>368</v>
      </c>
      <c r="E9" s="1">
        <f>VLOOKUP(A9,テーブル!$A$3:$D$10,4,0)+C9-D9</f>
        <v>73</v>
      </c>
      <c r="F9" s="1">
        <f>SUMIF(売上データ表!$C$2:$C$25,$A9,売上データ表!$F$2:$F$25)-SUMIF(仕入データ表!$A$2:$A$25,$A9,仕入データ表!$E$2:$E$25)</f>
        <v>271326</v>
      </c>
      <c r="G9" s="3">
        <f>ROUNDDOWN(VLOOKUP(A9,テーブル!$A$3:$D$10,3,0)*E9*0.7,-2)</f>
        <v>113900</v>
      </c>
    </row>
    <row r="10" spans="1:15">
      <c r="A10" s="9">
        <v>42</v>
      </c>
      <c r="B10" s="7" t="str">
        <f>VLOOKUP(A10,テーブル!$A$3:$D$10,2,0)</f>
        <v>商品Ｈ</v>
      </c>
      <c r="C10" s="1">
        <f>SUMIF(仕入データ表!$A$2:$A$25,A10,仕入データ表!$B$2:$B$25)</f>
        <v>256</v>
      </c>
      <c r="D10" s="1">
        <f>SUMIF(売上データ表!$C$2:$C$25,A10,売上データ表!$D$2:$D$25)</f>
        <v>278</v>
      </c>
      <c r="E10" s="1">
        <f>VLOOKUP(A10,テーブル!$A$3:$D$10,4,0)+C10-D10</f>
        <v>40</v>
      </c>
      <c r="F10" s="1">
        <f>SUMIF(売上データ表!$C$2:$C$25,$A10,売上データ表!$F$2:$F$25)-SUMIF(仕入データ表!$A$2:$A$25,$A10,仕入データ表!$E$2:$E$25)</f>
        <v>207364</v>
      </c>
      <c r="G10" s="3">
        <f>ROUNDDOWN(VLOOKUP(A10,テーブル!$A$3:$D$10,3,0)*E10*0.7,-2)</f>
        <v>85100</v>
      </c>
      <c r="I10" s="58" t="s">
        <v>1</v>
      </c>
      <c r="J10" s="58" t="s">
        <v>1</v>
      </c>
      <c r="K10" s="58" t="s">
        <v>1</v>
      </c>
      <c r="L10" s="58" t="s">
        <v>1</v>
      </c>
    </row>
    <row r="11" spans="1:15" ht="14.25" thickBot="1">
      <c r="A11" s="54"/>
      <c r="B11" s="16"/>
      <c r="C11" s="35"/>
      <c r="D11" s="35"/>
      <c r="E11" s="35"/>
      <c r="F11" s="35"/>
      <c r="G11" s="34"/>
      <c r="I11" s="59" t="s">
        <v>35</v>
      </c>
      <c r="J11" s="59" t="s">
        <v>39</v>
      </c>
      <c r="K11" s="59" t="s">
        <v>36</v>
      </c>
      <c r="L11" s="59" t="s">
        <v>37</v>
      </c>
    </row>
    <row r="12" spans="1:15" ht="14.25" thickBot="1">
      <c r="A12" s="11"/>
      <c r="B12" s="12" t="s">
        <v>7</v>
      </c>
      <c r="C12" s="10">
        <f>SUM(C3:C10)</f>
        <v>2724</v>
      </c>
      <c r="D12" s="10">
        <f>SUM(D3:D10)</f>
        <v>2759</v>
      </c>
      <c r="E12" s="10">
        <f>SUM(E3:E10)</f>
        <v>456</v>
      </c>
      <c r="F12" s="10">
        <f>SUM(F3:F10)</f>
        <v>1756493</v>
      </c>
      <c r="G12" s="13">
        <f>SUM(G3:G10)</f>
        <v>804900</v>
      </c>
    </row>
    <row r="14" spans="1:15">
      <c r="A14" s="37"/>
      <c r="B14" s="37"/>
      <c r="C14" s="37"/>
      <c r="D14" s="37"/>
      <c r="E14" s="37"/>
      <c r="F14" s="37"/>
      <c r="G14" s="37"/>
    </row>
    <row r="15" spans="1:15">
      <c r="A15" s="38"/>
      <c r="B15" s="38"/>
      <c r="C15" s="38"/>
      <c r="D15" s="38"/>
      <c r="E15" s="38"/>
      <c r="F15" s="38"/>
      <c r="G15" s="38"/>
    </row>
    <row r="16" spans="1:15">
      <c r="A16" s="37"/>
      <c r="B16" s="38"/>
      <c r="C16" s="38"/>
      <c r="D16" s="38"/>
      <c r="E16" s="38"/>
      <c r="F16" s="38"/>
      <c r="G16" s="38"/>
    </row>
    <row r="17" spans="1:7">
      <c r="A17" s="38"/>
      <c r="B17" s="38"/>
      <c r="C17" s="38"/>
      <c r="D17" s="38"/>
      <c r="E17" s="38"/>
      <c r="F17" s="38"/>
      <c r="G17" s="38"/>
    </row>
  </sheetData>
  <sortState xmlns:xlrd2="http://schemas.microsoft.com/office/spreadsheetml/2017/richdata2" ref="I3:N6">
    <sortCondition descending="1" ref="M2:M6"/>
  </sortState>
  <mergeCells count="2">
    <mergeCell ref="I1:N1"/>
    <mergeCell ref="A1:G1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>&amp;C&amp;A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仕入データ表</vt:lpstr>
      <vt:lpstr>売上データ表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Printed>2020-12-24T01:36:41Z</cp:lastPrinted>
  <dcterms:created xsi:type="dcterms:W3CDTF">2012-09-27T07:48:12Z</dcterms:created>
  <dcterms:modified xsi:type="dcterms:W3CDTF">2021-02-16T08:41:37Z</dcterms:modified>
</cp:coreProperties>
</file>