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k_imazu\Desktop\SPS模範解答\模範解答\"/>
    </mc:Choice>
  </mc:AlternateContent>
  <xr:revisionPtr revIDLastSave="0" documentId="13_ncr:1_{C6B25664-6987-4EE2-AE58-33192D3B96FD}" xr6:coauthVersionLast="46" xr6:coauthVersionMax="46" xr10:uidLastSave="{00000000-0000-0000-0000-000000000000}"/>
  <bookViews>
    <workbookView xWindow="2190" yWindow="2655" windowWidth="18000" windowHeight="9360" xr2:uid="{86E23B2F-6F5F-4B2C-B978-EE4A60B535BE}"/>
  </bookViews>
  <sheets>
    <sheet name="テーブル" sheetId="1" r:id="rId1"/>
    <sheet name="仕入データ表" sheetId="5" r:id="rId2"/>
    <sheet name="売上データ表" sheetId="6" r:id="rId3"/>
    <sheet name="計算表" sheetId="7" r:id="rId4"/>
  </sheets>
  <definedNames>
    <definedName name="_xlnm._FilterDatabase" localSheetId="1" hidden="1">仕入データ表!$A$1:$G$31</definedName>
    <definedName name="_xlnm.Criteria" localSheetId="1">仕入データ表!$I$2:$J$4</definedName>
    <definedName name="_xlnm.Extract" localSheetId="1">仕入データ表!$L$2:$R$2</definedName>
  </definedName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7" l="1"/>
  <c r="F5" i="7"/>
  <c r="F6" i="7"/>
  <c r="F7" i="7"/>
  <c r="F3" i="7"/>
  <c r="K3" i="7"/>
  <c r="L3" i="7"/>
  <c r="K4" i="7"/>
  <c r="L4" i="7"/>
  <c r="K5" i="7"/>
  <c r="L5" i="7"/>
  <c r="K6" i="7"/>
  <c r="L6" i="7"/>
  <c r="K7" i="7"/>
  <c r="L7" i="7"/>
  <c r="J4" i="7"/>
  <c r="J5" i="7"/>
  <c r="J6" i="7"/>
  <c r="J7" i="7"/>
  <c r="J3" i="7"/>
  <c r="D33" i="5"/>
  <c r="E7" i="7"/>
  <c r="E6" i="7"/>
  <c r="E5" i="7"/>
  <c r="E4" i="7"/>
  <c r="E3" i="7"/>
  <c r="R10" i="5" l="1"/>
  <c r="Q10" i="5"/>
  <c r="O10" i="5"/>
  <c r="C7" i="7" l="1"/>
  <c r="C6" i="7"/>
  <c r="C3" i="7"/>
  <c r="C4" i="7"/>
  <c r="C5" i="7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2" i="5"/>
  <c r="C31" i="5"/>
  <c r="C30" i="5"/>
  <c r="C29" i="5"/>
  <c r="C28" i="5"/>
  <c r="C27" i="5"/>
  <c r="C26" i="5"/>
  <c r="C25" i="5"/>
  <c r="C24" i="5"/>
  <c r="C23" i="5"/>
  <c r="C22" i="5"/>
  <c r="F22" i="5" l="1"/>
  <c r="G22" i="5" s="1"/>
  <c r="F23" i="5"/>
  <c r="G23" i="5" s="1"/>
  <c r="F24" i="5"/>
  <c r="G24" i="5" s="1"/>
  <c r="F25" i="5"/>
  <c r="G25" i="5" s="1"/>
  <c r="F26" i="5"/>
  <c r="G26" i="5" s="1"/>
  <c r="F27" i="5"/>
  <c r="G27" i="5" s="1"/>
  <c r="F28" i="5"/>
  <c r="G28" i="5" s="1"/>
  <c r="F29" i="5"/>
  <c r="G29" i="5" s="1"/>
  <c r="F30" i="5"/>
  <c r="G30" i="5" s="1"/>
  <c r="F31" i="5"/>
  <c r="G31" i="5" s="1"/>
  <c r="C21" i="5"/>
  <c r="C20" i="5"/>
  <c r="C19" i="5"/>
  <c r="C18" i="5"/>
  <c r="C17" i="5"/>
  <c r="F17" i="5" l="1"/>
  <c r="G17" i="5" s="1"/>
  <c r="F18" i="5"/>
  <c r="F19" i="5"/>
  <c r="G19" i="5" s="1"/>
  <c r="F20" i="5"/>
  <c r="G20" i="5" s="1"/>
  <c r="F21" i="5"/>
  <c r="G21" i="5" s="1"/>
  <c r="B5" i="7"/>
  <c r="B7" i="7"/>
  <c r="B4" i="7"/>
  <c r="B6" i="7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" i="6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2" i="5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G18" i="5" l="1"/>
  <c r="G5" i="7"/>
  <c r="G4" i="7"/>
  <c r="G6" i="7"/>
  <c r="G7" i="7"/>
  <c r="G16" i="5"/>
  <c r="G14" i="5"/>
  <c r="G12" i="5"/>
  <c r="G10" i="5"/>
  <c r="G8" i="5"/>
  <c r="G6" i="5"/>
  <c r="G4" i="5"/>
  <c r="D7" i="7" s="1"/>
  <c r="G15" i="5"/>
  <c r="G13" i="5"/>
  <c r="G11" i="5"/>
  <c r="G9" i="5"/>
  <c r="G7" i="5"/>
  <c r="G5" i="5"/>
  <c r="G3" i="5"/>
  <c r="G3" i="7"/>
  <c r="B3" i="7"/>
  <c r="F2" i="6"/>
  <c r="F2" i="5"/>
  <c r="F33" i="5" s="1"/>
  <c r="E28" i="6"/>
  <c r="D6" i="7" l="1"/>
  <c r="D4" i="7"/>
  <c r="D5" i="7"/>
  <c r="G9" i="7"/>
  <c r="E9" i="7"/>
  <c r="C9" i="7"/>
  <c r="G2" i="5"/>
  <c r="G33" i="5" s="1"/>
  <c r="D3" i="7" l="1"/>
  <c r="F9" i="7"/>
  <c r="D9" i="7" l="1"/>
</calcChain>
</file>

<file path=xl/sharedStrings.xml><?xml version="1.0" encoding="utf-8"?>
<sst xmlns="http://schemas.openxmlformats.org/spreadsheetml/2006/main" count="118" uniqueCount="57">
  <si>
    <t>商ＣＯ</t>
  </si>
  <si>
    <t>商品名</t>
  </si>
  <si>
    <t>仕入数</t>
  </si>
  <si>
    <t>値引額</t>
  </si>
  <si>
    <t>＜商品テーブル＞</t>
  </si>
  <si>
    <t>原価</t>
  </si>
  <si>
    <t>合　計</t>
  </si>
  <si>
    <t>定価</t>
  </si>
  <si>
    <t>得ＣＯ</t>
  </si>
  <si>
    <t>得意先名</t>
  </si>
  <si>
    <t>売上数</t>
  </si>
  <si>
    <t>売価</t>
  </si>
  <si>
    <t>売上額</t>
  </si>
  <si>
    <t>＜得意先テーブル＞</t>
  </si>
  <si>
    <t>＜割引率テーブル＞</t>
  </si>
  <si>
    <t>区分</t>
  </si>
  <si>
    <t>割引率</t>
  </si>
  <si>
    <t>決済日</t>
  </si>
  <si>
    <t>仕入額</t>
  </si>
  <si>
    <t>期末在庫数</t>
  </si>
  <si>
    <t>原価(＄)</t>
  </si>
  <si>
    <t>期首在庫数</t>
  </si>
  <si>
    <t>101Z</t>
  </si>
  <si>
    <t>商品Ａ</t>
  </si>
  <si>
    <t>X</t>
  </si>
  <si>
    <t>102X</t>
  </si>
  <si>
    <t>商品Ｂ</t>
  </si>
  <si>
    <t>Y</t>
  </si>
  <si>
    <t>104Z</t>
  </si>
  <si>
    <t>商品Ｃ</t>
  </si>
  <si>
    <t>Z</t>
  </si>
  <si>
    <t>103Y</t>
  </si>
  <si>
    <t>商品Ｄ</t>
  </si>
  <si>
    <t>為替相場</t>
  </si>
  <si>
    <t xml:space="preserve"> </t>
  </si>
  <si>
    <t>商品Ｅ</t>
    <phoneticPr fontId="1"/>
  </si>
  <si>
    <t>105X</t>
    <phoneticPr fontId="1"/>
  </si>
  <si>
    <t>東洋貿易</t>
    <rPh sb="0" eb="2">
      <t>トウヨウ</t>
    </rPh>
    <rPh sb="2" eb="4">
      <t>ボウエキ</t>
    </rPh>
    <phoneticPr fontId="1"/>
  </si>
  <si>
    <t>中村商事</t>
    <rPh sb="0" eb="2">
      <t>ナカムラ</t>
    </rPh>
    <phoneticPr fontId="1"/>
  </si>
  <si>
    <t>ＡＳＰＫ</t>
    <phoneticPr fontId="1"/>
  </si>
  <si>
    <t>中日総業</t>
    <rPh sb="0" eb="1">
      <t>ナカ</t>
    </rPh>
    <rPh sb="1" eb="2">
      <t>ヒ</t>
    </rPh>
    <phoneticPr fontId="1"/>
  </si>
  <si>
    <t>セナ企画</t>
    <phoneticPr fontId="1"/>
  </si>
  <si>
    <t>商品名</t>
    <rPh sb="0" eb="2">
      <t>ショウヒン</t>
    </rPh>
    <rPh sb="2" eb="3">
      <t>メイ</t>
    </rPh>
    <phoneticPr fontId="1"/>
  </si>
  <si>
    <t>得意先名</t>
    <rPh sb="0" eb="3">
      <t>トクイサキ</t>
    </rPh>
    <rPh sb="3" eb="4">
      <t>メイ</t>
    </rPh>
    <phoneticPr fontId="1"/>
  </si>
  <si>
    <t>＜為替相場テーブル＞</t>
    <phoneticPr fontId="1"/>
  </si>
  <si>
    <t>商品Ｅ</t>
  </si>
  <si>
    <t>8月</t>
    <rPh sb="1" eb="2">
      <t>ガツ</t>
    </rPh>
    <phoneticPr fontId="1"/>
  </si>
  <si>
    <t>9月</t>
  </si>
  <si>
    <t>10月</t>
  </si>
  <si>
    <t>商品別仕入額集計表</t>
  </si>
  <si>
    <t>仕入数</t>
    <rPh sb="0" eb="2">
      <t>シイレ</t>
    </rPh>
    <rPh sb="2" eb="3">
      <t>スウ</t>
    </rPh>
    <phoneticPr fontId="1"/>
  </si>
  <si>
    <t>&gt;=300</t>
    <phoneticPr fontId="1"/>
  </si>
  <si>
    <t>仕入額</t>
    <rPh sb="0" eb="3">
      <t>シイレガク</t>
    </rPh>
    <phoneticPr fontId="1"/>
  </si>
  <si>
    <t>&gt;=800000</t>
    <phoneticPr fontId="1"/>
  </si>
  <si>
    <t>合　計</t>
    <phoneticPr fontId="1"/>
  </si>
  <si>
    <t>商　品　一　覧　表</t>
    <phoneticPr fontId="1"/>
  </si>
  <si>
    <t>仕入数300以上または仕入額80万円以上</t>
    <rPh sb="0" eb="2">
      <t>シイレ</t>
    </rPh>
    <rPh sb="2" eb="3">
      <t>スウ</t>
    </rPh>
    <rPh sb="6" eb="8">
      <t>イジョウ</t>
    </rPh>
    <rPh sb="11" eb="14">
      <t>シイレガク</t>
    </rPh>
    <rPh sb="16" eb="18">
      <t>マンエン</t>
    </rPh>
    <rPh sb="18" eb="20">
      <t>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</si>
</sst>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m/d;@"/>
  </numFmts>
  <fonts count="5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11"/>
      <name val="ＭＳ 明朝"/>
      <family val="2"/>
      <charset val="128"/>
    </font>
    <font>
      <b/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3" fontId="0" fillId="0" borderId="6" xfId="0" applyNumberForma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3" fontId="0" fillId="0" borderId="8" xfId="0" applyNumberFormat="1" applyBorder="1">
      <alignment vertical="center"/>
    </xf>
    <xf numFmtId="0" fontId="0" fillId="0" borderId="9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>
      <alignment vertical="center"/>
    </xf>
    <xf numFmtId="3" fontId="0" fillId="0" borderId="9" xfId="0" applyNumberFormat="1" applyBorder="1">
      <alignment vertical="center"/>
    </xf>
    <xf numFmtId="176" fontId="0" fillId="0" borderId="1" xfId="1" applyNumberFormat="1" applyFont="1" applyBorder="1">
      <alignment vertical="center"/>
    </xf>
    <xf numFmtId="177" fontId="0" fillId="0" borderId="1" xfId="0" applyNumberFormat="1" applyBorder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  <xf numFmtId="176" fontId="0" fillId="0" borderId="0" xfId="1" applyNumberFormat="1" applyFont="1" applyBorder="1">
      <alignment vertical="center"/>
    </xf>
    <xf numFmtId="3" fontId="3" fillId="0" borderId="1" xfId="0" applyNumberFormat="1" applyFont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3" fontId="3" fillId="0" borderId="1" xfId="0" applyNumberFormat="1" applyFont="1" applyFill="1" applyBorder="1">
      <alignment vertical="center"/>
    </xf>
    <xf numFmtId="3" fontId="0" fillId="0" borderId="1" xfId="0" applyNumberFormat="1" applyFill="1" applyBorder="1">
      <alignment vertical="center"/>
    </xf>
    <xf numFmtId="3" fontId="0" fillId="0" borderId="6" xfId="0" applyNumberFormat="1" applyFill="1" applyBorder="1">
      <alignment vertical="center"/>
    </xf>
    <xf numFmtId="0" fontId="0" fillId="0" borderId="5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3" fontId="0" fillId="0" borderId="8" xfId="0" applyNumberFormat="1" applyFill="1" applyBorder="1">
      <alignment vertical="center"/>
    </xf>
    <xf numFmtId="3" fontId="0" fillId="0" borderId="9" xfId="0" applyNumberFormat="1" applyFill="1" applyBorder="1">
      <alignment vertical="center"/>
    </xf>
    <xf numFmtId="0" fontId="0" fillId="0" borderId="8" xfId="0" applyFill="1" applyBorder="1" applyAlignment="1">
      <alignment horizontal="center" vertical="center"/>
    </xf>
    <xf numFmtId="0" fontId="0" fillId="0" borderId="0" xfId="0" applyFill="1">
      <alignment vertical="center"/>
    </xf>
    <xf numFmtId="14" fontId="0" fillId="0" borderId="5" xfId="0" applyNumberFormat="1" applyFill="1" applyBorder="1">
      <alignment vertical="center"/>
    </xf>
    <xf numFmtId="0" fontId="0" fillId="0" borderId="9" xfId="0" applyFill="1" applyBorder="1">
      <alignment vertical="center"/>
    </xf>
    <xf numFmtId="0" fontId="0" fillId="0" borderId="7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>
      <alignment vertical="center"/>
    </xf>
    <xf numFmtId="0" fontId="0" fillId="0" borderId="15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 b="0"/>
            </a:pPr>
            <a:r>
              <a:rPr lang="ja-JP" altLang="en-US"/>
              <a:t>商品別売上額の構成比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計算表!$F$2</c:f>
              <c:strCache>
                <c:ptCount val="1"/>
                <c:pt idx="0">
                  <c:v>売上額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numFmt formatCode="0.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計算表!$B$3:$B$7</c:f>
              <c:strCache>
                <c:ptCount val="5"/>
                <c:pt idx="0">
                  <c:v>商品Ａ</c:v>
                </c:pt>
                <c:pt idx="1">
                  <c:v>商品Ｄ</c:v>
                </c:pt>
                <c:pt idx="2">
                  <c:v>商品Ｂ</c:v>
                </c:pt>
                <c:pt idx="3">
                  <c:v>商品Ｅ</c:v>
                </c:pt>
                <c:pt idx="4">
                  <c:v>商品Ｃ</c:v>
                </c:pt>
              </c:strCache>
            </c:strRef>
          </c:cat>
          <c:val>
            <c:numRef>
              <c:f>計算表!$F$3:$F$7</c:f>
              <c:numCache>
                <c:formatCode>#,##0</c:formatCode>
                <c:ptCount val="5"/>
                <c:pt idx="0">
                  <c:v>5710897</c:v>
                </c:pt>
                <c:pt idx="1">
                  <c:v>5571911</c:v>
                </c:pt>
                <c:pt idx="2">
                  <c:v>5321844</c:v>
                </c:pt>
                <c:pt idx="3">
                  <c:v>4282937</c:v>
                </c:pt>
                <c:pt idx="4">
                  <c:v>3598474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C2-485E-966D-91820238CB5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  <c:spPr>
        <a:ln>
          <a:solidFill>
            <a:schemeClr val="tx1"/>
          </a:solidFill>
        </a:ln>
      </c:spPr>
    </c:legend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 sz="1100">
          <a:latin typeface="ＭＳ 明朝" panose="02020609040205080304" pitchFamily="17" charset="-128"/>
          <a:ea typeface="ＭＳ 明朝" panose="02020609040205080304" pitchFamily="17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en-US" sz="110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</a:rPr>
              <a:t>月別の仕入額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計算表!$I$3</c:f>
              <c:strCache>
                <c:ptCount val="1"/>
                <c:pt idx="0">
                  <c:v>商品Ａ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計算表!$J$2:$L$2</c:f>
              <c:strCache>
                <c:ptCount val="3"/>
                <c:pt idx="0">
                  <c:v>8月</c:v>
                </c:pt>
                <c:pt idx="1">
                  <c:v>9月</c:v>
                </c:pt>
                <c:pt idx="2">
                  <c:v>10月</c:v>
                </c:pt>
              </c:strCache>
            </c:strRef>
          </c:cat>
          <c:val>
            <c:numRef>
              <c:f>計算表!$J$3:$L$3</c:f>
              <c:numCache>
                <c:formatCode>#,##0</c:formatCode>
                <c:ptCount val="3"/>
                <c:pt idx="0">
                  <c:v>1224475</c:v>
                </c:pt>
                <c:pt idx="1">
                  <c:v>1285345</c:v>
                </c:pt>
                <c:pt idx="2">
                  <c:v>1434566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80-4E23-BC22-FAD9AD2BC326}"/>
            </c:ext>
          </c:extLst>
        </c:ser>
        <c:ser>
          <c:idx val="1"/>
          <c:order val="1"/>
          <c:tx>
            <c:strRef>
              <c:f>計算表!$I$4</c:f>
              <c:strCache>
                <c:ptCount val="1"/>
                <c:pt idx="0">
                  <c:v>商品Ｂ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計算表!$J$2:$L$2</c:f>
              <c:strCache>
                <c:ptCount val="3"/>
                <c:pt idx="0">
                  <c:v>8月</c:v>
                </c:pt>
                <c:pt idx="1">
                  <c:v>9月</c:v>
                </c:pt>
                <c:pt idx="2">
                  <c:v>10月</c:v>
                </c:pt>
              </c:strCache>
            </c:strRef>
          </c:cat>
          <c:val>
            <c:numRef>
              <c:f>計算表!$J$4:$L$4</c:f>
              <c:numCache>
                <c:formatCode>#,##0</c:formatCode>
                <c:ptCount val="3"/>
                <c:pt idx="0">
                  <c:v>1388386</c:v>
                </c:pt>
                <c:pt idx="1">
                  <c:v>1138462</c:v>
                </c:pt>
                <c:pt idx="2">
                  <c:v>1073446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80-4E23-BC22-FAD9AD2BC326}"/>
            </c:ext>
          </c:extLst>
        </c:ser>
        <c:ser>
          <c:idx val="2"/>
          <c:order val="2"/>
          <c:tx>
            <c:strRef>
              <c:f>計算表!$I$5</c:f>
              <c:strCache>
                <c:ptCount val="1"/>
                <c:pt idx="0">
                  <c:v>商品Ｃ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計算表!$J$2:$L$2</c:f>
              <c:strCache>
                <c:ptCount val="3"/>
                <c:pt idx="0">
                  <c:v>8月</c:v>
                </c:pt>
                <c:pt idx="1">
                  <c:v>9月</c:v>
                </c:pt>
                <c:pt idx="2">
                  <c:v>10月</c:v>
                </c:pt>
              </c:strCache>
            </c:strRef>
          </c:cat>
          <c:val>
            <c:numRef>
              <c:f>計算表!$J$5:$L$5</c:f>
              <c:numCache>
                <c:formatCode>#,##0</c:formatCode>
                <c:ptCount val="3"/>
                <c:pt idx="0">
                  <c:v>795412</c:v>
                </c:pt>
                <c:pt idx="1">
                  <c:v>815426</c:v>
                </c:pt>
                <c:pt idx="2">
                  <c:v>801440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C6B-4B5A-B853-A040A0CCEE85}"/>
            </c:ext>
          </c:extLst>
        </c:ser>
        <c:ser>
          <c:idx val="3"/>
          <c:order val="3"/>
          <c:tx>
            <c:strRef>
              <c:f>計算表!$I$6</c:f>
              <c:strCache>
                <c:ptCount val="1"/>
                <c:pt idx="0">
                  <c:v>商品Ｄ</c:v>
                </c:pt>
              </c:strCache>
            </c:strRef>
          </c:tx>
          <c:spPr>
            <a:solidFill>
              <a:schemeClr val="dk1">
                <a:tint val="985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計算表!$J$2:$L$2</c:f>
              <c:strCache>
                <c:ptCount val="3"/>
                <c:pt idx="0">
                  <c:v>8月</c:v>
                </c:pt>
                <c:pt idx="1">
                  <c:v>9月</c:v>
                </c:pt>
                <c:pt idx="2">
                  <c:v>10月</c:v>
                </c:pt>
              </c:strCache>
            </c:strRef>
          </c:cat>
          <c:val>
            <c:numRef>
              <c:f>計算表!$J$6:$L$6</c:f>
              <c:numCache>
                <c:formatCode>#,##0</c:formatCode>
                <c:ptCount val="3"/>
                <c:pt idx="0">
                  <c:v>1233906</c:v>
                </c:pt>
                <c:pt idx="1">
                  <c:v>1510888</c:v>
                </c:pt>
                <c:pt idx="2">
                  <c:v>1413330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C6B-4B5A-B853-A040A0CCEE85}"/>
            </c:ext>
          </c:extLst>
        </c:ser>
        <c:ser>
          <c:idx val="4"/>
          <c:order val="4"/>
          <c:tx>
            <c:strRef>
              <c:f>計算表!$I$7</c:f>
              <c:strCache>
                <c:ptCount val="1"/>
                <c:pt idx="0">
                  <c:v>商品Ｅ</c:v>
                </c:pt>
              </c:strCache>
            </c:strRef>
          </c:tx>
          <c:spPr>
            <a:solidFill>
              <a:schemeClr val="dk1">
                <a:tint val="3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計算表!$J$2:$L$2</c:f>
              <c:strCache>
                <c:ptCount val="3"/>
                <c:pt idx="0">
                  <c:v>8月</c:v>
                </c:pt>
                <c:pt idx="1">
                  <c:v>9月</c:v>
                </c:pt>
                <c:pt idx="2">
                  <c:v>10月</c:v>
                </c:pt>
              </c:strCache>
            </c:strRef>
          </c:cat>
          <c:val>
            <c:numRef>
              <c:f>計算表!$J$7:$L$7</c:f>
              <c:numCache>
                <c:formatCode>#,##0</c:formatCode>
                <c:ptCount val="3"/>
                <c:pt idx="0">
                  <c:v>1441450</c:v>
                </c:pt>
                <c:pt idx="1">
                  <c:v>1495618</c:v>
                </c:pt>
                <c:pt idx="2">
                  <c:v>1665030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C6B-4B5A-B853-A040A0CCEE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overlap val="100"/>
        <c:axId val="452917256"/>
        <c:axId val="452909384"/>
      </c:barChart>
      <c:catAx>
        <c:axId val="4529172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52909384"/>
        <c:crosses val="autoZero"/>
        <c:auto val="1"/>
        <c:lblAlgn val="ctr"/>
        <c:lblOffset val="100"/>
        <c:noMultiLvlLbl val="0"/>
      </c:catAx>
      <c:valAx>
        <c:axId val="452909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52917256"/>
        <c:crosses val="autoZero"/>
        <c:crossBetween val="between"/>
      </c:valAx>
      <c:spPr>
        <a:noFill/>
        <a:ln>
          <a:solidFill>
            <a:schemeClr val="bg1">
              <a:lumMod val="65000"/>
            </a:schemeClr>
          </a:solidFill>
        </a:ln>
        <a:effectLst/>
      </c:spPr>
    </c:plotArea>
    <c:legend>
      <c:legendPos val="r"/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13</xdr:row>
      <xdr:rowOff>57150</xdr:rowOff>
    </xdr:from>
    <xdr:to>
      <xdr:col>6</xdr:col>
      <xdr:colOff>457200</xdr:colOff>
      <xdr:row>29</xdr:row>
      <xdr:rowOff>47625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EF71CF1-BAEC-48A6-B2AC-3889EF215D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628649</xdr:colOff>
      <xdr:row>13</xdr:row>
      <xdr:rowOff>61912</xdr:rowOff>
    </xdr:from>
    <xdr:to>
      <xdr:col>13</xdr:col>
      <xdr:colOff>400049</xdr:colOff>
      <xdr:row>29</xdr:row>
      <xdr:rowOff>61912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C3ADEED4-AE44-4B2F-B5AF-5ED981965C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05546-BBE8-4BA7-993C-746B2311E22C}">
  <dimension ref="A1:N31"/>
  <sheetViews>
    <sheetView tabSelected="1" workbookViewId="0"/>
  </sheetViews>
  <sheetFormatPr defaultRowHeight="13.5"/>
  <cols>
    <col min="1" max="2" width="7.5" bestFit="1" customWidth="1"/>
    <col min="3" max="3" width="9.5" bestFit="1" customWidth="1"/>
    <col min="4" max="4" width="6.5" bestFit="1" customWidth="1"/>
    <col min="5" max="5" width="11.625" bestFit="1" customWidth="1"/>
    <col min="6" max="6" width="5.5" customWidth="1"/>
    <col min="7" max="7" width="7.5" bestFit="1" customWidth="1"/>
    <col min="8" max="8" width="9.5" bestFit="1" customWidth="1"/>
    <col min="9" max="9" width="5.5" customWidth="1"/>
    <col min="10" max="10" width="5.5" bestFit="1" customWidth="1"/>
    <col min="11" max="11" width="7.5" bestFit="1" customWidth="1"/>
    <col min="12" max="12" width="5.625" customWidth="1"/>
    <col min="13" max="13" width="7.5" bestFit="1" customWidth="1"/>
    <col min="14" max="14" width="9.5" bestFit="1" customWidth="1"/>
    <col min="15" max="19" width="9" customWidth="1"/>
  </cols>
  <sheetData>
    <row r="1" spans="1:14">
      <c r="A1" t="s">
        <v>4</v>
      </c>
      <c r="G1" t="s">
        <v>44</v>
      </c>
      <c r="J1" t="s">
        <v>14</v>
      </c>
      <c r="M1" t="s">
        <v>13</v>
      </c>
    </row>
    <row r="2" spans="1:14">
      <c r="A2" s="1" t="s">
        <v>0</v>
      </c>
      <c r="B2" s="1" t="s">
        <v>1</v>
      </c>
      <c r="C2" s="1" t="s">
        <v>20</v>
      </c>
      <c r="D2" s="1" t="s">
        <v>7</v>
      </c>
      <c r="E2" s="1" t="s">
        <v>21</v>
      </c>
      <c r="G2" s="1" t="s">
        <v>17</v>
      </c>
      <c r="H2" s="1" t="s">
        <v>33</v>
      </c>
      <c r="J2" s="1" t="s">
        <v>15</v>
      </c>
      <c r="K2" s="1" t="s">
        <v>16</v>
      </c>
      <c r="M2" s="1" t="s">
        <v>8</v>
      </c>
      <c r="N2" s="1" t="s">
        <v>9</v>
      </c>
    </row>
    <row r="3" spans="1:14">
      <c r="A3" s="2">
        <v>11</v>
      </c>
      <c r="B3" s="2" t="s">
        <v>23</v>
      </c>
      <c r="C3" s="2">
        <v>22.79</v>
      </c>
      <c r="D3" s="3">
        <v>3540</v>
      </c>
      <c r="E3" s="2">
        <v>54</v>
      </c>
      <c r="G3" s="18">
        <v>44423</v>
      </c>
      <c r="H3" s="2">
        <v>106.72</v>
      </c>
      <c r="J3" s="2" t="s">
        <v>24</v>
      </c>
      <c r="K3" s="17">
        <v>9.4E-2</v>
      </c>
      <c r="M3" s="2" t="s">
        <v>22</v>
      </c>
      <c r="N3" s="2" t="s">
        <v>41</v>
      </c>
    </row>
    <row r="4" spans="1:14">
      <c r="A4" s="2">
        <v>12</v>
      </c>
      <c r="B4" s="2" t="s">
        <v>26</v>
      </c>
      <c r="C4" s="2">
        <v>25.13</v>
      </c>
      <c r="D4" s="3">
        <v>3980</v>
      </c>
      <c r="E4" s="2">
        <v>61</v>
      </c>
      <c r="G4" s="18">
        <v>44439</v>
      </c>
      <c r="H4" s="2">
        <v>105.18</v>
      </c>
      <c r="J4" s="2" t="s">
        <v>27</v>
      </c>
      <c r="K4" s="17">
        <v>8.5000000000000006E-2</v>
      </c>
      <c r="M4" s="2" t="s">
        <v>25</v>
      </c>
      <c r="N4" s="2" t="s">
        <v>40</v>
      </c>
    </row>
    <row r="5" spans="1:14">
      <c r="A5" s="2">
        <v>13</v>
      </c>
      <c r="B5" s="2" t="s">
        <v>29</v>
      </c>
      <c r="C5" s="2">
        <v>16.54</v>
      </c>
      <c r="D5" s="3">
        <v>2760</v>
      </c>
      <c r="E5" s="2">
        <v>75</v>
      </c>
      <c r="G5" s="18">
        <v>44454</v>
      </c>
      <c r="H5" s="2">
        <v>104.93</v>
      </c>
      <c r="J5" s="2" t="s">
        <v>30</v>
      </c>
      <c r="K5" s="17">
        <v>7.5999999999999998E-2</v>
      </c>
      <c r="M5" s="2" t="s">
        <v>31</v>
      </c>
      <c r="N5" s="2" t="s">
        <v>39</v>
      </c>
    </row>
    <row r="6" spans="1:14">
      <c r="A6" s="2">
        <v>14</v>
      </c>
      <c r="B6" s="2" t="s">
        <v>32</v>
      </c>
      <c r="C6" s="2">
        <v>29.45</v>
      </c>
      <c r="D6" s="3">
        <v>4320</v>
      </c>
      <c r="E6" s="2">
        <v>83</v>
      </c>
      <c r="G6" s="18">
        <v>44469</v>
      </c>
      <c r="H6" s="25">
        <v>104.81</v>
      </c>
      <c r="J6" s="21"/>
      <c r="K6" s="22"/>
      <c r="M6" s="2" t="s">
        <v>28</v>
      </c>
      <c r="N6" s="2" t="s">
        <v>38</v>
      </c>
    </row>
    <row r="7" spans="1:14">
      <c r="A7" s="2">
        <v>15</v>
      </c>
      <c r="B7" s="2" t="s">
        <v>35</v>
      </c>
      <c r="C7" s="19">
        <v>27.68</v>
      </c>
      <c r="D7" s="23">
        <v>2790</v>
      </c>
      <c r="E7" s="19">
        <v>69</v>
      </c>
      <c r="G7" s="18">
        <v>44484</v>
      </c>
      <c r="H7" s="25">
        <v>105.29</v>
      </c>
      <c r="M7" s="2" t="s">
        <v>36</v>
      </c>
      <c r="N7" s="19" t="s">
        <v>37</v>
      </c>
    </row>
    <row r="8" spans="1:14">
      <c r="G8" s="18">
        <v>44500</v>
      </c>
      <c r="H8" s="25">
        <v>106.54</v>
      </c>
    </row>
    <row r="12" spans="1:14">
      <c r="K12" s="20"/>
    </row>
    <row r="28" spans="2:2">
      <c r="B28" t="s">
        <v>34</v>
      </c>
    </row>
    <row r="31" spans="2:2">
      <c r="B31" t="s">
        <v>34</v>
      </c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4D00A-C30A-4154-82B7-E342B3F40071}">
  <dimension ref="A1:R33"/>
  <sheetViews>
    <sheetView workbookViewId="0"/>
  </sheetViews>
  <sheetFormatPr defaultRowHeight="13.5"/>
  <cols>
    <col min="1" max="1" width="11.625" style="39" bestFit="1" customWidth="1"/>
    <col min="2" max="2" width="7.5" style="39" bestFit="1" customWidth="1"/>
    <col min="3" max="3" width="7.5" style="39" customWidth="1"/>
    <col min="4" max="4" width="7.5" style="39" bestFit="1" customWidth="1"/>
    <col min="5" max="5" width="6.5" style="39" bestFit="1" customWidth="1"/>
    <col min="6" max="6" width="10.5" style="39" bestFit="1" customWidth="1"/>
    <col min="7" max="7" width="11.625" style="39" bestFit="1" customWidth="1"/>
    <col min="8" max="8" width="9" style="39"/>
    <col min="9" max="9" width="7.5" style="39" bestFit="1" customWidth="1"/>
    <col min="10" max="10" width="9.5" style="39" bestFit="1" customWidth="1"/>
    <col min="11" max="11" width="9" style="39"/>
    <col min="12" max="12" width="11.625" style="39" bestFit="1" customWidth="1"/>
    <col min="13" max="15" width="7.5" style="39" bestFit="1" customWidth="1"/>
    <col min="16" max="16" width="6.5" style="39" bestFit="1" customWidth="1"/>
    <col min="17" max="17" width="8.5" style="39" bestFit="1" customWidth="1"/>
    <col min="18" max="18" width="10.5" style="39" bestFit="1" customWidth="1"/>
    <col min="19" max="16384" width="9" style="39"/>
  </cols>
  <sheetData>
    <row r="1" spans="1:18" ht="14.25" thickBot="1">
      <c r="A1" s="26" t="s">
        <v>17</v>
      </c>
      <c r="B1" s="28" t="s">
        <v>0</v>
      </c>
      <c r="C1" s="28" t="s">
        <v>42</v>
      </c>
      <c r="D1" s="28" t="s">
        <v>2</v>
      </c>
      <c r="E1" s="28" t="s">
        <v>5</v>
      </c>
      <c r="F1" s="28" t="s">
        <v>3</v>
      </c>
      <c r="G1" s="27" t="s">
        <v>18</v>
      </c>
      <c r="L1" s="46" t="s">
        <v>56</v>
      </c>
      <c r="M1" s="46"/>
      <c r="N1" s="46"/>
      <c r="O1" s="46"/>
      <c r="P1" s="46"/>
      <c r="Q1" s="46"/>
      <c r="R1" s="46"/>
    </row>
    <row r="2" spans="1:18">
      <c r="A2" s="40">
        <v>44423</v>
      </c>
      <c r="B2" s="25">
        <v>11</v>
      </c>
      <c r="C2" s="25" t="str">
        <f>VLOOKUP(B2,テーブル!$A$3:$E$7,2,0)</f>
        <v>商品Ａ</v>
      </c>
      <c r="D2" s="29">
        <v>327</v>
      </c>
      <c r="E2" s="29">
        <f>ROUNDUP(VLOOKUP(B2,テーブル!$A$3:$E$7,3,0)*VLOOKUP(A2,テーブル!$G$3:$H$8,2,0),0)</f>
        <v>2433</v>
      </c>
      <c r="F2" s="30">
        <f t="shared" ref="F2:F31" si="0">ROUNDUP(IF(OR(D2&gt;=280,E2&gt;=3000),E2*D2*8.4%,E2*D2*7.3%),-1)</f>
        <v>66830</v>
      </c>
      <c r="G2" s="31">
        <f t="shared" ref="G2:G31" si="1">E2*D2-F2</f>
        <v>728761</v>
      </c>
      <c r="H2" s="24"/>
      <c r="I2" s="26" t="s">
        <v>50</v>
      </c>
      <c r="J2" s="27" t="s">
        <v>52</v>
      </c>
      <c r="L2" s="26" t="s">
        <v>17</v>
      </c>
      <c r="M2" s="28" t="s">
        <v>0</v>
      </c>
      <c r="N2" s="28" t="s">
        <v>42</v>
      </c>
      <c r="O2" s="28" t="s">
        <v>2</v>
      </c>
      <c r="P2" s="28" t="s">
        <v>5</v>
      </c>
      <c r="Q2" s="28" t="s">
        <v>3</v>
      </c>
      <c r="R2" s="27" t="s">
        <v>18</v>
      </c>
    </row>
    <row r="3" spans="1:18">
      <c r="A3" s="40">
        <v>44423</v>
      </c>
      <c r="B3" s="25">
        <v>12</v>
      </c>
      <c r="C3" s="25" t="str">
        <f>VLOOKUP(B3,テーブル!$A$3:$E$7,2,0)</f>
        <v>商品Ｂ</v>
      </c>
      <c r="D3" s="29">
        <v>236</v>
      </c>
      <c r="E3" s="29">
        <f>ROUNDUP(VLOOKUP(B3,テーブル!$A$3:$E$7,3,0)*VLOOKUP(A3,テーブル!$G$3:$H$8,2,0),0)</f>
        <v>2682</v>
      </c>
      <c r="F3" s="30">
        <f t="shared" si="0"/>
        <v>46210</v>
      </c>
      <c r="G3" s="31">
        <f t="shared" si="1"/>
        <v>586742</v>
      </c>
      <c r="I3" s="32" t="s">
        <v>51</v>
      </c>
      <c r="J3" s="33"/>
      <c r="L3" s="40">
        <v>44484</v>
      </c>
      <c r="M3" s="25">
        <v>11</v>
      </c>
      <c r="N3" s="25" t="s">
        <v>23</v>
      </c>
      <c r="O3" s="29">
        <v>355</v>
      </c>
      <c r="P3" s="29">
        <v>2400</v>
      </c>
      <c r="Q3" s="30">
        <v>71570</v>
      </c>
      <c r="R3" s="31">
        <v>780430</v>
      </c>
    </row>
    <row r="4" spans="1:18" ht="14.25" thickBot="1">
      <c r="A4" s="40">
        <v>44423</v>
      </c>
      <c r="B4" s="25">
        <v>13</v>
      </c>
      <c r="C4" s="25" t="str">
        <f>VLOOKUP(B4,テーブル!$A$3:$E$7,2,0)</f>
        <v>商品Ｃ</v>
      </c>
      <c r="D4" s="29">
        <v>277</v>
      </c>
      <c r="E4" s="29">
        <f>ROUNDUP(VLOOKUP(B4,テーブル!$A$3:$E$7,3,0)*VLOOKUP(A4,テーブル!$G$3:$H$8,2,0),0)</f>
        <v>1766</v>
      </c>
      <c r="F4" s="30">
        <f t="shared" si="0"/>
        <v>35720</v>
      </c>
      <c r="G4" s="31">
        <f t="shared" si="1"/>
        <v>453462</v>
      </c>
      <c r="I4" s="34"/>
      <c r="J4" s="41" t="s">
        <v>53</v>
      </c>
      <c r="L4" s="40">
        <v>44423</v>
      </c>
      <c r="M4" s="25">
        <v>11</v>
      </c>
      <c r="N4" s="25" t="s">
        <v>23</v>
      </c>
      <c r="O4" s="29">
        <v>327</v>
      </c>
      <c r="P4" s="29">
        <v>2433</v>
      </c>
      <c r="Q4" s="30">
        <v>66830</v>
      </c>
      <c r="R4" s="31">
        <v>728761</v>
      </c>
    </row>
    <row r="5" spans="1:18">
      <c r="A5" s="40">
        <v>44423</v>
      </c>
      <c r="B5" s="25">
        <v>14</v>
      </c>
      <c r="C5" s="25" t="str">
        <f>VLOOKUP(B5,テーブル!$A$3:$E$7,2,0)</f>
        <v>商品Ｄ</v>
      </c>
      <c r="D5" s="29">
        <v>194</v>
      </c>
      <c r="E5" s="29">
        <f>ROUNDUP(VLOOKUP(B5,テーブル!$A$3:$E$7,3,0)*VLOOKUP(A5,テーブル!$G$3:$H$8,2,0),0)</f>
        <v>3143</v>
      </c>
      <c r="F5" s="30">
        <f t="shared" si="0"/>
        <v>51220</v>
      </c>
      <c r="G5" s="31">
        <f t="shared" si="1"/>
        <v>558522</v>
      </c>
      <c r="L5" s="40">
        <v>44439</v>
      </c>
      <c r="M5" s="25">
        <v>12</v>
      </c>
      <c r="N5" s="25" t="s">
        <v>26</v>
      </c>
      <c r="O5" s="29">
        <v>331</v>
      </c>
      <c r="P5" s="29">
        <v>2644</v>
      </c>
      <c r="Q5" s="30">
        <v>73520</v>
      </c>
      <c r="R5" s="31">
        <v>801644</v>
      </c>
    </row>
    <row r="6" spans="1:18">
      <c r="A6" s="40">
        <v>44423</v>
      </c>
      <c r="B6" s="25">
        <v>15</v>
      </c>
      <c r="C6" s="25" t="str">
        <f>VLOOKUP(B6,テーブル!$A$3:$E$7,2,0)</f>
        <v>商品Ｅ</v>
      </c>
      <c r="D6" s="29">
        <v>270</v>
      </c>
      <c r="E6" s="29">
        <f>ROUNDUP(VLOOKUP(B6,テーブル!$A$3:$E$7,3,0)*VLOOKUP(A6,テーブル!$G$3:$H$8,2,0),0)</f>
        <v>2955</v>
      </c>
      <c r="F6" s="30">
        <f t="shared" si="0"/>
        <v>58250</v>
      </c>
      <c r="G6" s="31">
        <f t="shared" si="1"/>
        <v>739600</v>
      </c>
      <c r="L6" s="40">
        <v>44469</v>
      </c>
      <c r="M6" s="25">
        <v>14</v>
      </c>
      <c r="N6" s="25" t="s">
        <v>32</v>
      </c>
      <c r="O6" s="29">
        <v>284</v>
      </c>
      <c r="P6" s="29">
        <v>3087</v>
      </c>
      <c r="Q6" s="30">
        <v>73650</v>
      </c>
      <c r="R6" s="31">
        <v>803058</v>
      </c>
    </row>
    <row r="7" spans="1:18">
      <c r="A7" s="40">
        <v>44439</v>
      </c>
      <c r="B7" s="25">
        <v>11</v>
      </c>
      <c r="C7" s="25" t="str">
        <f>VLOOKUP(B7,テーブル!$A$3:$E$7,2,0)</f>
        <v>商品Ａ</v>
      </c>
      <c r="D7" s="29">
        <v>223</v>
      </c>
      <c r="E7" s="29">
        <f>ROUNDUP(VLOOKUP(B7,テーブル!$A$3:$E$7,3,0)*VLOOKUP(A7,テーブル!$G$3:$H$8,2,0),0)</f>
        <v>2398</v>
      </c>
      <c r="F7" s="30">
        <f t="shared" si="0"/>
        <v>39040</v>
      </c>
      <c r="G7" s="31">
        <f t="shared" si="1"/>
        <v>495714</v>
      </c>
      <c r="L7" s="40">
        <v>44484</v>
      </c>
      <c r="M7" s="25">
        <v>15</v>
      </c>
      <c r="N7" s="25" t="s">
        <v>45</v>
      </c>
      <c r="O7" s="29">
        <v>322</v>
      </c>
      <c r="P7" s="29">
        <v>2915</v>
      </c>
      <c r="Q7" s="30">
        <v>78850</v>
      </c>
      <c r="R7" s="31">
        <v>859780</v>
      </c>
    </row>
    <row r="8" spans="1:18">
      <c r="A8" s="40">
        <v>44439</v>
      </c>
      <c r="B8" s="25">
        <v>12</v>
      </c>
      <c r="C8" s="25" t="str">
        <f>VLOOKUP(B8,テーブル!$A$3:$E$7,2,0)</f>
        <v>商品Ｂ</v>
      </c>
      <c r="D8" s="29">
        <v>331</v>
      </c>
      <c r="E8" s="29">
        <f>ROUNDUP(VLOOKUP(B8,テーブル!$A$3:$E$7,3,0)*VLOOKUP(A8,テーブル!$G$3:$H$8,2,0),0)</f>
        <v>2644</v>
      </c>
      <c r="F8" s="30">
        <f t="shared" si="0"/>
        <v>73520</v>
      </c>
      <c r="G8" s="31">
        <f t="shared" si="1"/>
        <v>801644</v>
      </c>
      <c r="L8" s="40">
        <v>44500</v>
      </c>
      <c r="M8" s="25">
        <v>15</v>
      </c>
      <c r="N8" s="25" t="s">
        <v>45</v>
      </c>
      <c r="O8" s="29">
        <v>298</v>
      </c>
      <c r="P8" s="29">
        <v>2950</v>
      </c>
      <c r="Q8" s="30">
        <v>73850</v>
      </c>
      <c r="R8" s="31">
        <v>805250</v>
      </c>
    </row>
    <row r="9" spans="1:18">
      <c r="A9" s="40">
        <v>44439</v>
      </c>
      <c r="B9" s="25">
        <v>13</v>
      </c>
      <c r="C9" s="25" t="str">
        <f>VLOOKUP(B9,テーブル!$A$3:$E$7,2,0)</f>
        <v>商品Ｃ</v>
      </c>
      <c r="D9" s="29">
        <v>212</v>
      </c>
      <c r="E9" s="29">
        <f>ROUNDUP(VLOOKUP(B9,テーブル!$A$3:$E$7,3,0)*VLOOKUP(A9,テーブル!$G$3:$H$8,2,0),0)</f>
        <v>1740</v>
      </c>
      <c r="F9" s="30">
        <f t="shared" si="0"/>
        <v>26930</v>
      </c>
      <c r="G9" s="31">
        <f t="shared" si="1"/>
        <v>341950</v>
      </c>
      <c r="L9" s="32"/>
      <c r="M9" s="25"/>
      <c r="N9" s="25"/>
      <c r="O9" s="25"/>
      <c r="P9" s="25"/>
      <c r="Q9" s="25"/>
      <c r="R9" s="33"/>
    </row>
    <row r="10" spans="1:18" ht="14.25" thickBot="1">
      <c r="A10" s="40">
        <v>44439</v>
      </c>
      <c r="B10" s="25">
        <v>14</v>
      </c>
      <c r="C10" s="25" t="str">
        <f>VLOOKUP(B10,テーブル!$A$3:$E$7,2,0)</f>
        <v>商品Ｄ</v>
      </c>
      <c r="D10" s="29">
        <v>238</v>
      </c>
      <c r="E10" s="29">
        <f>ROUNDUP(VLOOKUP(B10,テーブル!$A$3:$E$7,3,0)*VLOOKUP(A10,テーブル!$G$3:$H$8,2,0),0)</f>
        <v>3098</v>
      </c>
      <c r="F10" s="30">
        <f t="shared" si="0"/>
        <v>61940</v>
      </c>
      <c r="G10" s="31">
        <f t="shared" si="1"/>
        <v>675384</v>
      </c>
      <c r="L10" s="34"/>
      <c r="M10" s="38"/>
      <c r="N10" s="38" t="s">
        <v>6</v>
      </c>
      <c r="O10" s="36">
        <f>SUM(O3:O8)</f>
        <v>1917</v>
      </c>
      <c r="P10" s="35"/>
      <c r="Q10" s="36">
        <f t="shared" ref="Q10:R10" si="2">SUM(Q3:Q8)</f>
        <v>438270</v>
      </c>
      <c r="R10" s="37">
        <f t="shared" si="2"/>
        <v>4778923</v>
      </c>
    </row>
    <row r="11" spans="1:18">
      <c r="A11" s="40">
        <v>44439</v>
      </c>
      <c r="B11" s="25">
        <v>15</v>
      </c>
      <c r="C11" s="25" t="str">
        <f>VLOOKUP(B11,テーブル!$A$3:$E$7,2,0)</f>
        <v>商品Ｅ</v>
      </c>
      <c r="D11" s="29">
        <v>260</v>
      </c>
      <c r="E11" s="29">
        <f>ROUNDUP(VLOOKUP(B11,テーブル!$A$3:$E$7,3,0)*VLOOKUP(A11,テーブル!$G$3:$H$8,2,0),0)</f>
        <v>2912</v>
      </c>
      <c r="F11" s="30">
        <f t="shared" si="0"/>
        <v>55270</v>
      </c>
      <c r="G11" s="31">
        <f t="shared" si="1"/>
        <v>701850</v>
      </c>
    </row>
    <row r="12" spans="1:18">
      <c r="A12" s="40">
        <v>44454</v>
      </c>
      <c r="B12" s="25">
        <v>11</v>
      </c>
      <c r="C12" s="25" t="str">
        <f>VLOOKUP(B12,テーブル!$A$3:$E$7,2,0)</f>
        <v>商品Ａ</v>
      </c>
      <c r="D12" s="29">
        <v>294</v>
      </c>
      <c r="E12" s="29">
        <f>ROUNDUP(VLOOKUP(B12,テーブル!$A$3:$E$7,3,0)*VLOOKUP(A12,テーブル!$G$3:$H$8,2,0),0)</f>
        <v>2392</v>
      </c>
      <c r="F12" s="30">
        <f t="shared" si="0"/>
        <v>59080</v>
      </c>
      <c r="G12" s="31">
        <f t="shared" si="1"/>
        <v>644168</v>
      </c>
    </row>
    <row r="13" spans="1:18">
      <c r="A13" s="40">
        <v>44454</v>
      </c>
      <c r="B13" s="25">
        <v>12</v>
      </c>
      <c r="C13" s="25" t="str">
        <f>VLOOKUP(B13,テーブル!$A$3:$E$7,2,0)</f>
        <v>商品Ｂ</v>
      </c>
      <c r="D13" s="29">
        <v>226</v>
      </c>
      <c r="E13" s="29">
        <f>ROUNDUP(VLOOKUP(B13,テーブル!$A$3:$E$7,3,0)*VLOOKUP(A13,テーブル!$G$3:$H$8,2,0),0)</f>
        <v>2637</v>
      </c>
      <c r="F13" s="30">
        <f t="shared" si="0"/>
        <v>43510</v>
      </c>
      <c r="G13" s="31">
        <f t="shared" si="1"/>
        <v>552452</v>
      </c>
    </row>
    <row r="14" spans="1:18">
      <c r="A14" s="40">
        <v>44454</v>
      </c>
      <c r="B14" s="25">
        <v>13</v>
      </c>
      <c r="C14" s="25" t="str">
        <f>VLOOKUP(B14,テーブル!$A$3:$E$7,2,0)</f>
        <v>商品Ｃ</v>
      </c>
      <c r="D14" s="29">
        <v>259</v>
      </c>
      <c r="E14" s="29">
        <f>ROUNDUP(VLOOKUP(B14,テーブル!$A$3:$E$7,3,0)*VLOOKUP(A14,テーブル!$G$3:$H$8,2,0),0)</f>
        <v>1736</v>
      </c>
      <c r="F14" s="30">
        <f t="shared" si="0"/>
        <v>32830</v>
      </c>
      <c r="G14" s="31">
        <f t="shared" si="1"/>
        <v>416794</v>
      </c>
    </row>
    <row r="15" spans="1:18">
      <c r="A15" s="40">
        <v>44454</v>
      </c>
      <c r="B15" s="25">
        <v>14</v>
      </c>
      <c r="C15" s="25" t="str">
        <f>VLOOKUP(B15,テーブル!$A$3:$E$7,2,0)</f>
        <v>商品Ｄ</v>
      </c>
      <c r="D15" s="29">
        <v>250</v>
      </c>
      <c r="E15" s="29">
        <f>ROUNDUP(VLOOKUP(B15,テーブル!$A$3:$E$7,3,0)*VLOOKUP(A15,テーブル!$G$3:$H$8,2,0),0)</f>
        <v>3091</v>
      </c>
      <c r="F15" s="30">
        <f t="shared" si="0"/>
        <v>64920</v>
      </c>
      <c r="G15" s="31">
        <f t="shared" si="1"/>
        <v>707830</v>
      </c>
    </row>
    <row r="16" spans="1:18">
      <c r="A16" s="40">
        <v>44454</v>
      </c>
      <c r="B16" s="25">
        <v>15</v>
      </c>
      <c r="C16" s="25" t="str">
        <f>VLOOKUP(B16,テーブル!$A$3:$E$7,2,0)</f>
        <v>商品Ｅ</v>
      </c>
      <c r="D16" s="29">
        <v>280</v>
      </c>
      <c r="E16" s="29">
        <f>ROUNDUP(VLOOKUP(B16,テーブル!$A$3:$E$7,3,0)*VLOOKUP(A16,テーブル!$G$3:$H$8,2,0),0)</f>
        <v>2905</v>
      </c>
      <c r="F16" s="30">
        <f t="shared" si="0"/>
        <v>68330</v>
      </c>
      <c r="G16" s="31">
        <f t="shared" si="1"/>
        <v>745070</v>
      </c>
    </row>
    <row r="17" spans="1:7">
      <c r="A17" s="40">
        <v>44469</v>
      </c>
      <c r="B17" s="25">
        <v>11</v>
      </c>
      <c r="C17" s="25" t="str">
        <f>VLOOKUP(B17,テーブル!$A$3:$E$7,2,0)</f>
        <v>商品Ａ</v>
      </c>
      <c r="D17" s="29">
        <v>293</v>
      </c>
      <c r="E17" s="29">
        <f>ROUNDUP(VLOOKUP(B17,テーブル!$A$3:$E$7,3,0)*VLOOKUP(A17,テーブル!$G$3:$H$8,2,0),0)</f>
        <v>2389</v>
      </c>
      <c r="F17" s="30">
        <f t="shared" si="0"/>
        <v>58800</v>
      </c>
      <c r="G17" s="31">
        <f t="shared" si="1"/>
        <v>641177</v>
      </c>
    </row>
    <row r="18" spans="1:7">
      <c r="A18" s="40">
        <v>44469</v>
      </c>
      <c r="B18" s="25">
        <v>12</v>
      </c>
      <c r="C18" s="25" t="str">
        <f>VLOOKUP(B18,テーブル!$A$3:$E$7,2,0)</f>
        <v>商品Ｂ</v>
      </c>
      <c r="D18" s="29">
        <v>240</v>
      </c>
      <c r="E18" s="29">
        <f>ROUNDUP(VLOOKUP(B18,テーブル!$A$3:$E$7,3,0)*VLOOKUP(A18,テーブル!$G$3:$H$8,2,0),0)</f>
        <v>2634</v>
      </c>
      <c r="F18" s="30">
        <f t="shared" si="0"/>
        <v>46150</v>
      </c>
      <c r="G18" s="31">
        <f t="shared" si="1"/>
        <v>586010</v>
      </c>
    </row>
    <row r="19" spans="1:7">
      <c r="A19" s="40">
        <v>44469</v>
      </c>
      <c r="B19" s="25">
        <v>13</v>
      </c>
      <c r="C19" s="25" t="str">
        <f>VLOOKUP(B19,テーブル!$A$3:$E$7,2,0)</f>
        <v>商品Ｃ</v>
      </c>
      <c r="D19" s="29">
        <v>248</v>
      </c>
      <c r="E19" s="29">
        <f>ROUNDUP(VLOOKUP(B19,テーブル!$A$3:$E$7,3,0)*VLOOKUP(A19,テーブル!$G$3:$H$8,2,0),0)</f>
        <v>1734</v>
      </c>
      <c r="F19" s="30">
        <f t="shared" si="0"/>
        <v>31400</v>
      </c>
      <c r="G19" s="31">
        <f t="shared" si="1"/>
        <v>398632</v>
      </c>
    </row>
    <row r="20" spans="1:7">
      <c r="A20" s="40">
        <v>44469</v>
      </c>
      <c r="B20" s="25">
        <v>14</v>
      </c>
      <c r="C20" s="25" t="str">
        <f>VLOOKUP(B20,テーブル!$A$3:$E$7,2,0)</f>
        <v>商品Ｄ</v>
      </c>
      <c r="D20" s="29">
        <v>284</v>
      </c>
      <c r="E20" s="29">
        <f>ROUNDUP(VLOOKUP(B20,テーブル!$A$3:$E$7,3,0)*VLOOKUP(A20,テーブル!$G$3:$H$8,2,0),0)</f>
        <v>3087</v>
      </c>
      <c r="F20" s="30">
        <f t="shared" si="0"/>
        <v>73650</v>
      </c>
      <c r="G20" s="31">
        <f t="shared" si="1"/>
        <v>803058</v>
      </c>
    </row>
    <row r="21" spans="1:7">
      <c r="A21" s="40">
        <v>44469</v>
      </c>
      <c r="B21" s="25">
        <v>15</v>
      </c>
      <c r="C21" s="25" t="str">
        <f>VLOOKUP(B21,テーブル!$A$3:$E$7,2,0)</f>
        <v>商品Ｅ</v>
      </c>
      <c r="D21" s="29">
        <v>279</v>
      </c>
      <c r="E21" s="29">
        <f>ROUNDUP(VLOOKUP(B21,テーブル!$A$3:$E$7,3,0)*VLOOKUP(A21,テーブル!$G$3:$H$8,2,0),0)</f>
        <v>2902</v>
      </c>
      <c r="F21" s="30">
        <f t="shared" si="0"/>
        <v>59110</v>
      </c>
      <c r="G21" s="31">
        <f t="shared" si="1"/>
        <v>750548</v>
      </c>
    </row>
    <row r="22" spans="1:7">
      <c r="A22" s="40">
        <v>44484</v>
      </c>
      <c r="B22" s="25">
        <v>11</v>
      </c>
      <c r="C22" s="25" t="str">
        <f>VLOOKUP(B22,テーブル!$A$3:$E$7,2,0)</f>
        <v>商品Ａ</v>
      </c>
      <c r="D22" s="29">
        <v>355</v>
      </c>
      <c r="E22" s="29">
        <f>ROUNDUP(VLOOKUP(B22,テーブル!$A$3:$E$7,3,0)*VLOOKUP(A22,テーブル!$G$3:$H$8,2,0),0)</f>
        <v>2400</v>
      </c>
      <c r="F22" s="30">
        <f t="shared" si="0"/>
        <v>71570</v>
      </c>
      <c r="G22" s="31">
        <f t="shared" si="1"/>
        <v>780430</v>
      </c>
    </row>
    <row r="23" spans="1:7">
      <c r="A23" s="40">
        <v>44484</v>
      </c>
      <c r="B23" s="25">
        <v>12</v>
      </c>
      <c r="C23" s="25" t="str">
        <f>VLOOKUP(B23,テーブル!$A$3:$E$7,2,0)</f>
        <v>商品Ｂ</v>
      </c>
      <c r="D23" s="29">
        <v>217</v>
      </c>
      <c r="E23" s="29">
        <f>ROUNDUP(VLOOKUP(B23,テーブル!$A$3:$E$7,3,0)*VLOOKUP(A23,テーブル!$G$3:$H$8,2,0),0)</f>
        <v>2646</v>
      </c>
      <c r="F23" s="30">
        <f t="shared" si="0"/>
        <v>41920</v>
      </c>
      <c r="G23" s="31">
        <f t="shared" si="1"/>
        <v>532262</v>
      </c>
    </row>
    <row r="24" spans="1:7">
      <c r="A24" s="40">
        <v>44484</v>
      </c>
      <c r="B24" s="25">
        <v>13</v>
      </c>
      <c r="C24" s="25" t="str">
        <f>VLOOKUP(B24,テーブル!$A$3:$E$7,2,0)</f>
        <v>商品Ｃ</v>
      </c>
      <c r="D24" s="29">
        <v>219</v>
      </c>
      <c r="E24" s="29">
        <f>ROUNDUP(VLOOKUP(B24,テーブル!$A$3:$E$7,3,0)*VLOOKUP(A24,テーブル!$G$3:$H$8,2,0),0)</f>
        <v>1742</v>
      </c>
      <c r="F24" s="30">
        <f t="shared" si="0"/>
        <v>27850</v>
      </c>
      <c r="G24" s="31">
        <f t="shared" si="1"/>
        <v>353648</v>
      </c>
    </row>
    <row r="25" spans="1:7">
      <c r="A25" s="40">
        <v>44484</v>
      </c>
      <c r="B25" s="25">
        <v>14</v>
      </c>
      <c r="C25" s="25" t="str">
        <f>VLOOKUP(B25,テーブル!$A$3:$E$7,2,0)</f>
        <v>商品Ｄ</v>
      </c>
      <c r="D25" s="29">
        <v>280</v>
      </c>
      <c r="E25" s="29">
        <f>ROUNDUP(VLOOKUP(B25,テーブル!$A$3:$E$7,3,0)*VLOOKUP(A25,テーブル!$G$3:$H$8,2,0),0)</f>
        <v>3101</v>
      </c>
      <c r="F25" s="30">
        <f t="shared" si="0"/>
        <v>72940</v>
      </c>
      <c r="G25" s="31">
        <f t="shared" si="1"/>
        <v>795340</v>
      </c>
    </row>
    <row r="26" spans="1:7">
      <c r="A26" s="40">
        <v>44484</v>
      </c>
      <c r="B26" s="25">
        <v>15</v>
      </c>
      <c r="C26" s="25" t="str">
        <f>VLOOKUP(B26,テーブル!$A$3:$E$7,2,0)</f>
        <v>商品Ｅ</v>
      </c>
      <c r="D26" s="29">
        <v>322</v>
      </c>
      <c r="E26" s="29">
        <f>ROUNDUP(VLOOKUP(B26,テーブル!$A$3:$E$7,3,0)*VLOOKUP(A26,テーブル!$G$3:$H$8,2,0),0)</f>
        <v>2915</v>
      </c>
      <c r="F26" s="30">
        <f t="shared" si="0"/>
        <v>78850</v>
      </c>
      <c r="G26" s="31">
        <f t="shared" si="1"/>
        <v>859780</v>
      </c>
    </row>
    <row r="27" spans="1:7">
      <c r="A27" s="40">
        <v>44500</v>
      </c>
      <c r="B27" s="25">
        <v>11</v>
      </c>
      <c r="C27" s="25" t="str">
        <f>VLOOKUP(B27,テーブル!$A$3:$E$7,2,0)</f>
        <v>商品Ａ</v>
      </c>
      <c r="D27" s="29">
        <v>294</v>
      </c>
      <c r="E27" s="29">
        <f>ROUNDUP(VLOOKUP(B27,テーブル!$A$3:$E$7,3,0)*VLOOKUP(A27,テーブル!$G$3:$H$8,2,0),0)</f>
        <v>2429</v>
      </c>
      <c r="F27" s="30">
        <f t="shared" si="0"/>
        <v>59990</v>
      </c>
      <c r="G27" s="31">
        <f t="shared" si="1"/>
        <v>654136</v>
      </c>
    </row>
    <row r="28" spans="1:7">
      <c r="A28" s="40">
        <v>44500</v>
      </c>
      <c r="B28" s="25">
        <v>12</v>
      </c>
      <c r="C28" s="25" t="str">
        <f>VLOOKUP(B28,テーブル!$A$3:$E$7,2,0)</f>
        <v>商品Ｂ</v>
      </c>
      <c r="D28" s="29">
        <v>218</v>
      </c>
      <c r="E28" s="29">
        <f>ROUNDUP(VLOOKUP(B28,テーブル!$A$3:$E$7,3,0)*VLOOKUP(A28,テーブル!$G$3:$H$8,2,0),0)</f>
        <v>2678</v>
      </c>
      <c r="F28" s="30">
        <f t="shared" si="0"/>
        <v>42620</v>
      </c>
      <c r="G28" s="31">
        <f t="shared" si="1"/>
        <v>541184</v>
      </c>
    </row>
    <row r="29" spans="1:7">
      <c r="A29" s="40">
        <v>44500</v>
      </c>
      <c r="B29" s="25">
        <v>13</v>
      </c>
      <c r="C29" s="25" t="str">
        <f>VLOOKUP(B29,テーブル!$A$3:$E$7,2,0)</f>
        <v>商品Ｃ</v>
      </c>
      <c r="D29" s="29">
        <v>274</v>
      </c>
      <c r="E29" s="29">
        <f>ROUNDUP(VLOOKUP(B29,テーブル!$A$3:$E$7,3,0)*VLOOKUP(A29,テーブル!$G$3:$H$8,2,0),0)</f>
        <v>1763</v>
      </c>
      <c r="F29" s="30">
        <f t="shared" si="0"/>
        <v>35270</v>
      </c>
      <c r="G29" s="31">
        <f t="shared" si="1"/>
        <v>447792</v>
      </c>
    </row>
    <row r="30" spans="1:7">
      <c r="A30" s="40">
        <v>44500</v>
      </c>
      <c r="B30" s="25">
        <v>14</v>
      </c>
      <c r="C30" s="25" t="str">
        <f>VLOOKUP(B30,テーブル!$A$3:$E$7,2,0)</f>
        <v>商品Ｄ</v>
      </c>
      <c r="D30" s="29">
        <v>215</v>
      </c>
      <c r="E30" s="29">
        <f>ROUNDUP(VLOOKUP(B30,テーブル!$A$3:$E$7,3,0)*VLOOKUP(A30,テーブル!$G$3:$H$8,2,0),0)</f>
        <v>3138</v>
      </c>
      <c r="F30" s="30">
        <f t="shared" si="0"/>
        <v>56680</v>
      </c>
      <c r="G30" s="31">
        <f t="shared" si="1"/>
        <v>617990</v>
      </c>
    </row>
    <row r="31" spans="1:7">
      <c r="A31" s="40">
        <v>44500</v>
      </c>
      <c r="B31" s="25">
        <v>15</v>
      </c>
      <c r="C31" s="25" t="str">
        <f>VLOOKUP(B31,テーブル!$A$3:$E$7,2,0)</f>
        <v>商品Ｅ</v>
      </c>
      <c r="D31" s="29">
        <v>298</v>
      </c>
      <c r="E31" s="29">
        <f>ROUNDUP(VLOOKUP(B31,テーブル!$A$3:$E$7,3,0)*VLOOKUP(A31,テーブル!$G$3:$H$8,2,0),0)</f>
        <v>2950</v>
      </c>
      <c r="F31" s="30">
        <f t="shared" si="0"/>
        <v>73850</v>
      </c>
      <c r="G31" s="31">
        <f t="shared" si="1"/>
        <v>805250</v>
      </c>
    </row>
    <row r="32" spans="1:7">
      <c r="A32" s="32"/>
      <c r="B32" s="25"/>
      <c r="C32" s="25"/>
      <c r="D32" s="25"/>
      <c r="E32" s="25"/>
      <c r="F32" s="25"/>
      <c r="G32" s="33"/>
    </row>
    <row r="33" spans="1:7" ht="14.25" thickBot="1">
      <c r="A33" s="42"/>
      <c r="B33" s="35"/>
      <c r="C33" s="38" t="s">
        <v>54</v>
      </c>
      <c r="D33" s="36">
        <f>SUM(D2:D31)</f>
        <v>7913</v>
      </c>
      <c r="E33" s="35"/>
      <c r="F33" s="36">
        <f t="shared" ref="F33:G33" si="3">SUM(F2:F31)</f>
        <v>1614250</v>
      </c>
      <c r="G33" s="37">
        <f t="shared" si="3"/>
        <v>18717180</v>
      </c>
    </row>
  </sheetData>
  <sortState xmlns:xlrd2="http://schemas.microsoft.com/office/spreadsheetml/2017/richdata2" ref="L3:R8">
    <sortCondition ref="M3:M8"/>
    <sortCondition descending="1" ref="R3:R8"/>
  </sortState>
  <mergeCells count="1">
    <mergeCell ref="L1:R1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A61E8-A291-48D6-81C6-5A199A7C45FB}">
  <dimension ref="A1:F28"/>
  <sheetViews>
    <sheetView workbookViewId="0"/>
  </sheetViews>
  <sheetFormatPr defaultRowHeight="13.5"/>
  <cols>
    <col min="1" max="1" width="7.5" style="39" bestFit="1" customWidth="1"/>
    <col min="2" max="2" width="9.5" style="39" customWidth="1"/>
    <col min="3" max="3" width="7.5" style="39" bestFit="1" customWidth="1"/>
    <col min="4" max="4" width="7.5" style="39" customWidth="1"/>
    <col min="5" max="5" width="7.5" style="39" bestFit="1" customWidth="1"/>
    <col min="6" max="6" width="6.5" style="39" bestFit="1" customWidth="1"/>
    <col min="7" max="16384" width="9" style="39"/>
  </cols>
  <sheetData>
    <row r="1" spans="1:6">
      <c r="A1" s="26" t="s">
        <v>8</v>
      </c>
      <c r="B1" s="43" t="s">
        <v>43</v>
      </c>
      <c r="C1" s="28" t="s">
        <v>0</v>
      </c>
      <c r="D1" s="28" t="s">
        <v>42</v>
      </c>
      <c r="E1" s="28" t="s">
        <v>10</v>
      </c>
      <c r="F1" s="27" t="s">
        <v>11</v>
      </c>
    </row>
    <row r="2" spans="1:6">
      <c r="A2" s="32" t="s">
        <v>22</v>
      </c>
      <c r="B2" s="44" t="str">
        <f>VLOOKUP(A2,テーブル!$M$3:$N$7,2,0)</f>
        <v>セナ企画</v>
      </c>
      <c r="C2" s="25">
        <v>11</v>
      </c>
      <c r="D2" s="25" t="str">
        <f>VLOOKUP(C2,テーブル!$A$3:$E$7,2,0)</f>
        <v>商品Ａ</v>
      </c>
      <c r="E2" s="25">
        <v>384</v>
      </c>
      <c r="F2" s="31">
        <f>ROUNDUP(VLOOKUP(C2,テーブル!$A$3:$E$7,4,0)*(1-VLOOKUP(RIGHT(A2,1),テーブル!$J$3:$K$5,2,0)),0)</f>
        <v>3271</v>
      </c>
    </row>
    <row r="3" spans="1:6">
      <c r="A3" s="32" t="s">
        <v>22</v>
      </c>
      <c r="B3" s="44" t="str">
        <f>VLOOKUP(A3,テーブル!$M$3:$N$7,2,0)</f>
        <v>セナ企画</v>
      </c>
      <c r="C3" s="25">
        <v>12</v>
      </c>
      <c r="D3" s="25" t="str">
        <f>VLOOKUP(C3,テーブル!$A$3:$E$7,2,0)</f>
        <v>商品Ｂ</v>
      </c>
      <c r="E3" s="25">
        <v>120</v>
      </c>
      <c r="F3" s="31">
        <f>ROUNDUP(VLOOKUP(C3,テーブル!$A$3:$E$7,4,0)*(1-VLOOKUP(RIGHT(A3,1),テーブル!$J$3:$K$5,2,0)),0)</f>
        <v>3678</v>
      </c>
    </row>
    <row r="4" spans="1:6">
      <c r="A4" s="32" t="s">
        <v>22</v>
      </c>
      <c r="B4" s="44" t="str">
        <f>VLOOKUP(A4,テーブル!$M$3:$N$7,2,0)</f>
        <v>セナ企画</v>
      </c>
      <c r="C4" s="25">
        <v>13</v>
      </c>
      <c r="D4" s="25" t="str">
        <f>VLOOKUP(C4,テーブル!$A$3:$E$7,2,0)</f>
        <v>商品Ｃ</v>
      </c>
      <c r="E4" s="25">
        <v>310</v>
      </c>
      <c r="F4" s="31">
        <f>ROUNDUP(VLOOKUP(C4,テーブル!$A$3:$E$7,4,0)*(1-VLOOKUP(RIGHT(A4,1),テーブル!$J$3:$K$5,2,0)),0)</f>
        <v>2551</v>
      </c>
    </row>
    <row r="5" spans="1:6">
      <c r="A5" s="32" t="s">
        <v>22</v>
      </c>
      <c r="B5" s="44" t="str">
        <f>VLOOKUP(A5,テーブル!$M$3:$N$7,2,0)</f>
        <v>セナ企画</v>
      </c>
      <c r="C5" s="25">
        <v>14</v>
      </c>
      <c r="D5" s="25" t="str">
        <f>VLOOKUP(C5,テーブル!$A$3:$E$7,2,0)</f>
        <v>商品Ｄ</v>
      </c>
      <c r="E5" s="25">
        <v>187</v>
      </c>
      <c r="F5" s="31">
        <f>ROUNDUP(VLOOKUP(C5,テーブル!$A$3:$E$7,4,0)*(1-VLOOKUP(RIGHT(A5,1),テーブル!$J$3:$K$5,2,0)),0)</f>
        <v>3992</v>
      </c>
    </row>
    <row r="6" spans="1:6">
      <c r="A6" s="32" t="s">
        <v>22</v>
      </c>
      <c r="B6" s="44" t="str">
        <f>VLOOKUP(A6,テーブル!$M$3:$N$7,2,0)</f>
        <v>セナ企画</v>
      </c>
      <c r="C6" s="25">
        <v>15</v>
      </c>
      <c r="D6" s="25" t="str">
        <f>VLOOKUP(C6,テーブル!$A$3:$E$7,2,0)</f>
        <v>商品Ｅ</v>
      </c>
      <c r="E6" s="25">
        <v>274</v>
      </c>
      <c r="F6" s="31">
        <f>ROUNDUP(VLOOKUP(C6,テーブル!$A$3:$E$7,4,0)*(1-VLOOKUP(RIGHT(A6,1),テーブル!$J$3:$K$5,2,0)),0)</f>
        <v>2578</v>
      </c>
    </row>
    <row r="7" spans="1:6">
      <c r="A7" s="32" t="s">
        <v>25</v>
      </c>
      <c r="B7" s="44" t="str">
        <f>VLOOKUP(A7,テーブル!$M$3:$N$7,2,0)</f>
        <v>中日総業</v>
      </c>
      <c r="C7" s="25">
        <v>11</v>
      </c>
      <c r="D7" s="25" t="str">
        <f>VLOOKUP(C7,テーブル!$A$3:$E$7,2,0)</f>
        <v>商品Ａ</v>
      </c>
      <c r="E7" s="25">
        <v>274</v>
      </c>
      <c r="F7" s="31">
        <f>ROUNDUP(VLOOKUP(C7,テーブル!$A$3:$E$7,4,0)*(1-VLOOKUP(RIGHT(A7,1),テーブル!$J$3:$K$5,2,0)),0)</f>
        <v>3208</v>
      </c>
    </row>
    <row r="8" spans="1:6">
      <c r="A8" s="32" t="s">
        <v>25</v>
      </c>
      <c r="B8" s="44" t="str">
        <f>VLOOKUP(A8,テーブル!$M$3:$N$7,2,0)</f>
        <v>中日総業</v>
      </c>
      <c r="C8" s="25">
        <v>12</v>
      </c>
      <c r="D8" s="25" t="str">
        <f>VLOOKUP(C8,テーブル!$A$3:$E$7,2,0)</f>
        <v>商品Ｂ</v>
      </c>
      <c r="E8" s="25">
        <v>460</v>
      </c>
      <c r="F8" s="31">
        <f>ROUNDUP(VLOOKUP(C8,テーブル!$A$3:$E$7,4,0)*(1-VLOOKUP(RIGHT(A8,1),テーブル!$J$3:$K$5,2,0)),0)</f>
        <v>3606</v>
      </c>
    </row>
    <row r="9" spans="1:6">
      <c r="A9" s="32" t="s">
        <v>25</v>
      </c>
      <c r="B9" s="44" t="str">
        <f>VLOOKUP(A9,テーブル!$M$3:$N$7,2,0)</f>
        <v>中日総業</v>
      </c>
      <c r="C9" s="25">
        <v>13</v>
      </c>
      <c r="D9" s="25" t="str">
        <f>VLOOKUP(C9,テーブル!$A$3:$E$7,2,0)</f>
        <v>商品Ｃ</v>
      </c>
      <c r="E9" s="25">
        <v>200</v>
      </c>
      <c r="F9" s="31">
        <f>ROUNDUP(VLOOKUP(C9,テーブル!$A$3:$E$7,4,0)*(1-VLOOKUP(RIGHT(A9,1),テーブル!$J$3:$K$5,2,0)),0)</f>
        <v>2501</v>
      </c>
    </row>
    <row r="10" spans="1:6">
      <c r="A10" s="32" t="s">
        <v>25</v>
      </c>
      <c r="B10" s="44" t="str">
        <f>VLOOKUP(A10,テーブル!$M$3:$N$7,2,0)</f>
        <v>中日総業</v>
      </c>
      <c r="C10" s="25">
        <v>14</v>
      </c>
      <c r="D10" s="25" t="str">
        <f>VLOOKUP(C10,テーブル!$A$3:$E$7,2,0)</f>
        <v>商品Ｄ</v>
      </c>
      <c r="E10" s="25">
        <v>381</v>
      </c>
      <c r="F10" s="31">
        <f>ROUNDUP(VLOOKUP(C10,テーブル!$A$3:$E$7,4,0)*(1-VLOOKUP(RIGHT(A10,1),テーブル!$J$3:$K$5,2,0)),0)</f>
        <v>3914</v>
      </c>
    </row>
    <row r="11" spans="1:6">
      <c r="A11" s="32" t="s">
        <v>25</v>
      </c>
      <c r="B11" s="44" t="str">
        <f>VLOOKUP(A11,テーブル!$M$3:$N$7,2,0)</f>
        <v>中日総業</v>
      </c>
      <c r="C11" s="25">
        <v>15</v>
      </c>
      <c r="D11" s="25" t="str">
        <f>VLOOKUP(C11,テーブル!$A$3:$E$7,2,0)</f>
        <v>商品Ｅ</v>
      </c>
      <c r="E11" s="25">
        <v>358</v>
      </c>
      <c r="F11" s="31">
        <f>ROUNDUP(VLOOKUP(C11,テーブル!$A$3:$E$7,4,0)*(1-VLOOKUP(RIGHT(A11,1),テーブル!$J$3:$K$5,2,0)),0)</f>
        <v>2528</v>
      </c>
    </row>
    <row r="12" spans="1:6">
      <c r="A12" s="32" t="s">
        <v>31</v>
      </c>
      <c r="B12" s="44" t="str">
        <f>VLOOKUP(A12,テーブル!$M$3:$N$7,2,0)</f>
        <v>ＡＳＰＫ</v>
      </c>
      <c r="C12" s="25">
        <v>11</v>
      </c>
      <c r="D12" s="25" t="str">
        <f>VLOOKUP(C12,テーブル!$A$3:$E$7,2,0)</f>
        <v>商品Ａ</v>
      </c>
      <c r="E12" s="25">
        <v>305</v>
      </c>
      <c r="F12" s="31">
        <f>ROUNDUP(VLOOKUP(C12,テーブル!$A$3:$E$7,4,0)*(1-VLOOKUP(RIGHT(A12,1),テーブル!$J$3:$K$5,2,0)),0)</f>
        <v>3240</v>
      </c>
    </row>
    <row r="13" spans="1:6">
      <c r="A13" s="32" t="s">
        <v>31</v>
      </c>
      <c r="B13" s="44" t="str">
        <f>VLOOKUP(A13,テーブル!$M$3:$N$7,2,0)</f>
        <v>ＡＳＰＫ</v>
      </c>
      <c r="C13" s="25">
        <v>12</v>
      </c>
      <c r="D13" s="25" t="str">
        <f>VLOOKUP(C13,テーブル!$A$3:$E$7,2,0)</f>
        <v>商品Ｂ</v>
      </c>
      <c r="E13" s="25">
        <v>339</v>
      </c>
      <c r="F13" s="31">
        <f>ROUNDUP(VLOOKUP(C13,テーブル!$A$3:$E$7,4,0)*(1-VLOOKUP(RIGHT(A13,1),テーブル!$J$3:$K$5,2,0)),0)</f>
        <v>3642</v>
      </c>
    </row>
    <row r="14" spans="1:6">
      <c r="A14" s="32" t="s">
        <v>31</v>
      </c>
      <c r="B14" s="44" t="str">
        <f>VLOOKUP(A14,テーブル!$M$3:$N$7,2,0)</f>
        <v>ＡＳＰＫ</v>
      </c>
      <c r="C14" s="25">
        <v>13</v>
      </c>
      <c r="D14" s="25" t="str">
        <f>VLOOKUP(C14,テーブル!$A$3:$E$7,2,0)</f>
        <v>商品Ｃ</v>
      </c>
      <c r="E14" s="25">
        <v>284</v>
      </c>
      <c r="F14" s="31">
        <f>ROUNDUP(VLOOKUP(C14,テーブル!$A$3:$E$7,4,0)*(1-VLOOKUP(RIGHT(A14,1),テーブル!$J$3:$K$5,2,0)),0)</f>
        <v>2526</v>
      </c>
    </row>
    <row r="15" spans="1:6">
      <c r="A15" s="32" t="s">
        <v>31</v>
      </c>
      <c r="B15" s="44" t="str">
        <f>VLOOKUP(A15,テーブル!$M$3:$N$7,2,0)</f>
        <v>ＡＳＰＫ</v>
      </c>
      <c r="C15" s="25">
        <v>14</v>
      </c>
      <c r="D15" s="25" t="str">
        <f>VLOOKUP(C15,テーブル!$A$3:$E$7,2,0)</f>
        <v>商品Ｄ</v>
      </c>
      <c r="E15" s="25">
        <v>261</v>
      </c>
      <c r="F15" s="31">
        <f>ROUNDUP(VLOOKUP(C15,テーブル!$A$3:$E$7,4,0)*(1-VLOOKUP(RIGHT(A15,1),テーブル!$J$3:$K$5,2,0)),0)</f>
        <v>3953</v>
      </c>
    </row>
    <row r="16" spans="1:6">
      <c r="A16" s="32" t="s">
        <v>31</v>
      </c>
      <c r="B16" s="44" t="str">
        <f>VLOOKUP(A16,テーブル!$M$3:$N$7,2,0)</f>
        <v>ＡＳＰＫ</v>
      </c>
      <c r="C16" s="25">
        <v>15</v>
      </c>
      <c r="D16" s="25" t="str">
        <f>VLOOKUP(C16,テーブル!$A$3:$E$7,2,0)</f>
        <v>商品Ｅ</v>
      </c>
      <c r="E16" s="25">
        <v>367</v>
      </c>
      <c r="F16" s="31">
        <f>ROUNDUP(VLOOKUP(C16,テーブル!$A$3:$E$7,4,0)*(1-VLOOKUP(RIGHT(A16,1),テーブル!$J$3:$K$5,2,0)),0)</f>
        <v>2553</v>
      </c>
    </row>
    <row r="17" spans="1:6">
      <c r="A17" s="32" t="s">
        <v>28</v>
      </c>
      <c r="B17" s="44" t="str">
        <f>VLOOKUP(A17,テーブル!$M$3:$N$7,2,0)</f>
        <v>中村商事</v>
      </c>
      <c r="C17" s="25">
        <v>11</v>
      </c>
      <c r="D17" s="25" t="str">
        <f>VLOOKUP(C17,テーブル!$A$3:$E$7,2,0)</f>
        <v>商品Ａ</v>
      </c>
      <c r="E17" s="25">
        <v>439</v>
      </c>
      <c r="F17" s="31">
        <f>ROUNDUP(VLOOKUP(C17,テーブル!$A$3:$E$7,4,0)*(1-VLOOKUP(RIGHT(A17,1),テーブル!$J$3:$K$5,2,0)),0)</f>
        <v>3271</v>
      </c>
    </row>
    <row r="18" spans="1:6">
      <c r="A18" s="32" t="s">
        <v>28</v>
      </c>
      <c r="B18" s="44" t="str">
        <f>VLOOKUP(A18,テーブル!$M$3:$N$7,2,0)</f>
        <v>中村商事</v>
      </c>
      <c r="C18" s="25">
        <v>12</v>
      </c>
      <c r="D18" s="25" t="str">
        <f>VLOOKUP(C18,テーブル!$A$3:$E$7,2,0)</f>
        <v>商品Ｂ</v>
      </c>
      <c r="E18" s="25">
        <v>303</v>
      </c>
      <c r="F18" s="31">
        <f>ROUNDUP(VLOOKUP(C18,テーブル!$A$3:$E$7,4,0)*(1-VLOOKUP(RIGHT(A18,1),テーブル!$J$3:$K$5,2,0)),0)</f>
        <v>3678</v>
      </c>
    </row>
    <row r="19" spans="1:6">
      <c r="A19" s="32" t="s">
        <v>28</v>
      </c>
      <c r="B19" s="44" t="str">
        <f>VLOOKUP(A19,テーブル!$M$3:$N$7,2,0)</f>
        <v>中村商事</v>
      </c>
      <c r="C19" s="25">
        <v>13</v>
      </c>
      <c r="D19" s="25" t="str">
        <f>VLOOKUP(C19,テーブル!$A$3:$E$7,2,0)</f>
        <v>商品Ｃ</v>
      </c>
      <c r="E19" s="25">
        <v>289</v>
      </c>
      <c r="F19" s="31">
        <f>ROUNDUP(VLOOKUP(C19,テーブル!$A$3:$E$7,4,0)*(1-VLOOKUP(RIGHT(A19,1),テーブル!$J$3:$K$5,2,0)),0)</f>
        <v>2551</v>
      </c>
    </row>
    <row r="20" spans="1:6">
      <c r="A20" s="32" t="s">
        <v>28</v>
      </c>
      <c r="B20" s="44" t="str">
        <f>VLOOKUP(A20,テーブル!$M$3:$N$7,2,0)</f>
        <v>中村商事</v>
      </c>
      <c r="C20" s="25">
        <v>14</v>
      </c>
      <c r="D20" s="25" t="str">
        <f>VLOOKUP(C20,テーブル!$A$3:$E$7,2,0)</f>
        <v>商品Ｄ</v>
      </c>
      <c r="E20" s="25">
        <v>314</v>
      </c>
      <c r="F20" s="31">
        <f>ROUNDUP(VLOOKUP(C20,テーブル!$A$3:$E$7,4,0)*(1-VLOOKUP(RIGHT(A20,1),テーブル!$J$3:$K$5,2,0)),0)</f>
        <v>3992</v>
      </c>
    </row>
    <row r="21" spans="1:6">
      <c r="A21" s="32" t="s">
        <v>28</v>
      </c>
      <c r="B21" s="44" t="str">
        <f>VLOOKUP(A21,テーブル!$M$3:$N$7,2,0)</f>
        <v>中村商事</v>
      </c>
      <c r="C21" s="25">
        <v>15</v>
      </c>
      <c r="D21" s="25" t="str">
        <f>VLOOKUP(C21,テーブル!$A$3:$E$7,2,0)</f>
        <v>商品Ｅ</v>
      </c>
      <c r="E21" s="25">
        <v>311</v>
      </c>
      <c r="F21" s="31">
        <f>ROUNDUP(VLOOKUP(C21,テーブル!$A$3:$E$7,4,0)*(1-VLOOKUP(RIGHT(A21,1),テーブル!$J$3:$K$5,2,0)),0)</f>
        <v>2578</v>
      </c>
    </row>
    <row r="22" spans="1:6">
      <c r="A22" s="32" t="s">
        <v>36</v>
      </c>
      <c r="B22" s="44" t="str">
        <f>VLOOKUP(A22,テーブル!$M$3:$N$7,2,0)</f>
        <v>東洋貿易</v>
      </c>
      <c r="C22" s="25">
        <v>11</v>
      </c>
      <c r="D22" s="25" t="str">
        <f>VLOOKUP(C22,テーブル!$A$3:$E$7,2,0)</f>
        <v>商品Ａ</v>
      </c>
      <c r="E22" s="25">
        <v>359</v>
      </c>
      <c r="F22" s="31">
        <f>ROUNDUP(VLOOKUP(C22,テーブル!$A$3:$E$7,4,0)*(1-VLOOKUP(RIGHT(A22,1),テーブル!$J$3:$K$5,2,0)),0)</f>
        <v>3208</v>
      </c>
    </row>
    <row r="23" spans="1:6">
      <c r="A23" s="32" t="s">
        <v>36</v>
      </c>
      <c r="B23" s="44" t="str">
        <f>VLOOKUP(A23,テーブル!$M$3:$N$7,2,0)</f>
        <v>東洋貿易</v>
      </c>
      <c r="C23" s="25">
        <v>12</v>
      </c>
      <c r="D23" s="25" t="str">
        <f>VLOOKUP(C23,テーブル!$A$3:$E$7,2,0)</f>
        <v>商品Ｂ</v>
      </c>
      <c r="E23" s="25">
        <v>242</v>
      </c>
      <c r="F23" s="31">
        <f>ROUNDUP(VLOOKUP(C23,テーブル!$A$3:$E$7,4,0)*(1-VLOOKUP(RIGHT(A23,1),テーブル!$J$3:$K$5,2,0)),0)</f>
        <v>3606</v>
      </c>
    </row>
    <row r="24" spans="1:6">
      <c r="A24" s="32" t="s">
        <v>36</v>
      </c>
      <c r="B24" s="44" t="str">
        <f>VLOOKUP(A24,テーブル!$M$3:$N$7,2,0)</f>
        <v>東洋貿易</v>
      </c>
      <c r="C24" s="25">
        <v>13</v>
      </c>
      <c r="D24" s="25" t="str">
        <f>VLOOKUP(C24,テーブル!$A$3:$E$7,2,0)</f>
        <v>商品Ｃ</v>
      </c>
      <c r="E24" s="25">
        <v>341</v>
      </c>
      <c r="F24" s="31">
        <f>ROUNDUP(VLOOKUP(C24,テーブル!$A$3:$E$7,4,0)*(1-VLOOKUP(RIGHT(A24,1),テーブル!$J$3:$K$5,2,0)),0)</f>
        <v>2501</v>
      </c>
    </row>
    <row r="25" spans="1:6">
      <c r="A25" s="32" t="s">
        <v>36</v>
      </c>
      <c r="B25" s="44" t="str">
        <f>VLOOKUP(A25,テーブル!$M$3:$N$7,2,0)</f>
        <v>東洋貿易</v>
      </c>
      <c r="C25" s="25">
        <v>14</v>
      </c>
      <c r="D25" s="25" t="str">
        <f>VLOOKUP(C25,テーブル!$A$3:$E$7,2,0)</f>
        <v>商品Ｄ</v>
      </c>
      <c r="E25" s="25">
        <v>268</v>
      </c>
      <c r="F25" s="31">
        <f>ROUNDUP(VLOOKUP(C25,テーブル!$A$3:$E$7,4,0)*(1-VLOOKUP(RIGHT(A25,1),テーブル!$J$3:$K$5,2,0)),0)</f>
        <v>3914</v>
      </c>
    </row>
    <row r="26" spans="1:6">
      <c r="A26" s="32" t="s">
        <v>36</v>
      </c>
      <c r="B26" s="44" t="str">
        <f>VLOOKUP(A26,テーブル!$M$3:$N$7,2,0)</f>
        <v>東洋貿易</v>
      </c>
      <c r="C26" s="25">
        <v>15</v>
      </c>
      <c r="D26" s="25" t="str">
        <f>VLOOKUP(C26,テーブル!$A$3:$E$7,2,0)</f>
        <v>商品Ｅ</v>
      </c>
      <c r="E26" s="25">
        <v>369</v>
      </c>
      <c r="F26" s="31">
        <f>ROUNDUP(VLOOKUP(C26,テーブル!$A$3:$E$7,4,0)*(1-VLOOKUP(RIGHT(A26,1),テーブル!$J$3:$K$5,2,0)),0)</f>
        <v>2528</v>
      </c>
    </row>
    <row r="27" spans="1:6">
      <c r="A27" s="32"/>
      <c r="B27" s="44"/>
      <c r="C27" s="25"/>
      <c r="D27" s="25"/>
      <c r="E27" s="25"/>
      <c r="F27" s="33"/>
    </row>
    <row r="28" spans="1:6">
      <c r="A28" s="42"/>
      <c r="B28" s="45" t="s">
        <v>54</v>
      </c>
      <c r="C28" s="35"/>
      <c r="D28" s="35"/>
      <c r="E28" s="36">
        <f>SUM(E2:E26)</f>
        <v>7739</v>
      </c>
      <c r="F28" s="41"/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7D8AD-2364-4632-BC3A-46EBF76BDEB2}">
  <dimension ref="A1:L12"/>
  <sheetViews>
    <sheetView workbookViewId="0">
      <selection sqref="A1:G1"/>
    </sheetView>
  </sheetViews>
  <sheetFormatPr defaultRowHeight="13.5"/>
  <cols>
    <col min="1" max="3" width="7.5" bestFit="1" customWidth="1"/>
    <col min="4" max="4" width="11.625" bestFit="1" customWidth="1"/>
    <col min="5" max="5" width="7.5" bestFit="1" customWidth="1"/>
    <col min="6" max="7" width="11.625" bestFit="1" customWidth="1"/>
    <col min="8" max="8" width="5.625" customWidth="1"/>
    <col min="9" max="9" width="7.5" bestFit="1" customWidth="1"/>
    <col min="10" max="12" width="10.5" bestFit="1" customWidth="1"/>
    <col min="13" max="13" width="11.625" bestFit="1" customWidth="1"/>
    <col min="14" max="14" width="10.125" customWidth="1"/>
    <col min="15" max="15" width="9" customWidth="1"/>
    <col min="17" max="19" width="10.5" bestFit="1" customWidth="1"/>
  </cols>
  <sheetData>
    <row r="1" spans="1:12" ht="14.25" thickBot="1">
      <c r="A1" s="47" t="s">
        <v>55</v>
      </c>
      <c r="B1" s="47"/>
      <c r="C1" s="47"/>
      <c r="D1" s="47"/>
      <c r="E1" s="47"/>
      <c r="F1" s="47"/>
      <c r="G1" s="47"/>
      <c r="I1" s="48" t="s">
        <v>49</v>
      </c>
      <c r="J1" s="48"/>
      <c r="K1" s="48"/>
      <c r="L1" s="48"/>
    </row>
    <row r="2" spans="1:12">
      <c r="A2" s="4" t="s">
        <v>0</v>
      </c>
      <c r="B2" s="5" t="s">
        <v>1</v>
      </c>
      <c r="C2" s="5" t="s">
        <v>2</v>
      </c>
      <c r="D2" s="5" t="s">
        <v>18</v>
      </c>
      <c r="E2" s="5" t="s">
        <v>10</v>
      </c>
      <c r="F2" s="5" t="s">
        <v>12</v>
      </c>
      <c r="G2" s="6" t="s">
        <v>19</v>
      </c>
      <c r="I2" s="4" t="s">
        <v>1</v>
      </c>
      <c r="J2" s="5" t="s">
        <v>46</v>
      </c>
      <c r="K2" s="5" t="s">
        <v>47</v>
      </c>
      <c r="L2" s="6" t="s">
        <v>48</v>
      </c>
    </row>
    <row r="3" spans="1:12">
      <c r="A3" s="7">
        <v>11</v>
      </c>
      <c r="B3" s="2" t="str">
        <f>VLOOKUP(A3,テーブル!$A$3:$E$7,2,0)</f>
        <v>商品Ａ</v>
      </c>
      <c r="C3" s="3">
        <f>DSUM(仕入データ表!$A$1:$G$31,C$2,$A$11:$A$12)</f>
        <v>1786</v>
      </c>
      <c r="D3" s="3">
        <f>DSUM(仕入データ表!$A$1:$G$31,D$2,$A$11:$A$12)</f>
        <v>3944386</v>
      </c>
      <c r="E3" s="3">
        <f>DSUM(売上データ表!$A$1:$F$26,$E$2,$A$11:$A$12)</f>
        <v>1761</v>
      </c>
      <c r="F3" s="3">
        <f>SUMPRODUCT((売上データ表!$C$2:$C$26=A3)*1,売上データ表!$F$2:$F$26,売上データ表!$E$2:$E$26)</f>
        <v>5710897</v>
      </c>
      <c r="G3" s="8">
        <f>VLOOKUP(A3,テーブル!$A$3:$E$7,5,0)+C3-E3</f>
        <v>79</v>
      </c>
      <c r="I3" s="7" t="s">
        <v>23</v>
      </c>
      <c r="J3" s="3">
        <f>SUMPRODUCT((仕入データ表!$C$2:$C$31=$I3)*(MONTH(仕入データ表!$A$2:$A$31)&amp;"月"=J$2)*1,仕入データ表!$G$2:$G$31)</f>
        <v>1224475</v>
      </c>
      <c r="K3" s="3">
        <f>SUMPRODUCT((仕入データ表!$C$2:$C$31=$I3)*(MONTH(仕入データ表!$A$2:$A$31)&amp;"月"=K$2)*1,仕入データ表!$G$2:$G$31)</f>
        <v>1285345</v>
      </c>
      <c r="L3" s="8">
        <f>SUMPRODUCT((仕入データ表!$C$2:$C$31=$I3)*(MONTH(仕入データ表!$A$2:$A$31)&amp;"月"=L$2)*1,仕入データ表!$G$2:$G$31)</f>
        <v>1434566</v>
      </c>
    </row>
    <row r="4" spans="1:12">
      <c r="A4" s="7">
        <v>14</v>
      </c>
      <c r="B4" s="2" t="str">
        <f>VLOOKUP(A4,テーブル!$A$3:$E$7,2,0)</f>
        <v>商品Ｄ</v>
      </c>
      <c r="C4" s="3">
        <f>DSUM(仕入データ表!$A$1:$G$31,C$2,$D$11:$D$12)</f>
        <v>1461</v>
      </c>
      <c r="D4" s="3">
        <f>DSUM(仕入データ表!$A$1:$G$31,D$2,$D$11:$D$12)</f>
        <v>4158124</v>
      </c>
      <c r="E4" s="3">
        <f>DSUM(売上データ表!$A$1:$F$26,$E$2,$D$11:$D$12)</f>
        <v>1411</v>
      </c>
      <c r="F4" s="3">
        <f>SUMPRODUCT((売上データ表!$C$2:$C$26=A4)*1,売上データ表!$F$2:$F$26,売上データ表!$E$2:$E$26)</f>
        <v>5571911</v>
      </c>
      <c r="G4" s="8">
        <f>VLOOKUP(A4,テーブル!$A$3:$E$7,5,0)+C4-E4</f>
        <v>133</v>
      </c>
      <c r="I4" s="7" t="s">
        <v>26</v>
      </c>
      <c r="J4" s="3">
        <f>SUMPRODUCT((仕入データ表!$C$2:$C$31=$I4)*(MONTH(仕入データ表!$A$2:$A$31)&amp;"月"=J$2)*1,仕入データ表!$G$2:$G$31)</f>
        <v>1388386</v>
      </c>
      <c r="K4" s="3">
        <f>SUMPRODUCT((仕入データ表!$C$2:$C$31=$I4)*(MONTH(仕入データ表!$A$2:$A$31)&amp;"月"=K$2)*1,仕入データ表!$G$2:$G$31)</f>
        <v>1138462</v>
      </c>
      <c r="L4" s="8">
        <f>SUMPRODUCT((仕入データ表!$C$2:$C$31=$I4)*(MONTH(仕入データ表!$A$2:$A$31)&amp;"月"=L$2)*1,仕入データ表!$G$2:$G$31)</f>
        <v>1073446</v>
      </c>
    </row>
    <row r="5" spans="1:12">
      <c r="A5" s="7">
        <v>12</v>
      </c>
      <c r="B5" s="2" t="str">
        <f>VLOOKUP(A5,テーブル!$A$3:$E$7,2,0)</f>
        <v>商品Ｂ</v>
      </c>
      <c r="C5" s="3">
        <f>DSUM(仕入データ表!$A$1:$G$31,C$2,$B$11:$B$12)</f>
        <v>1468</v>
      </c>
      <c r="D5" s="3">
        <f>DSUM(仕入データ表!$A$1:$G$31,D$2,$B$11:$B$12)</f>
        <v>3600294</v>
      </c>
      <c r="E5" s="3">
        <f>DSUM(売上データ表!$A$1:$F$26,$E$2,$B$11:$B$12)</f>
        <v>1464</v>
      </c>
      <c r="F5" s="3">
        <f>SUMPRODUCT((売上データ表!$C$2:$C$26=A5)*1,売上データ表!$F$2:$F$26,売上データ表!$E$2:$E$26)</f>
        <v>5321844</v>
      </c>
      <c r="G5" s="8">
        <f>VLOOKUP(A5,テーブル!$A$3:$E$7,5,0)+C5-E5</f>
        <v>65</v>
      </c>
      <c r="I5" s="7" t="s">
        <v>29</v>
      </c>
      <c r="J5" s="3">
        <f>SUMPRODUCT((仕入データ表!$C$2:$C$31=$I5)*(MONTH(仕入データ表!$A$2:$A$31)&amp;"月"=J$2)*1,仕入データ表!$G$2:$G$31)</f>
        <v>795412</v>
      </c>
      <c r="K5" s="3">
        <f>SUMPRODUCT((仕入データ表!$C$2:$C$31=$I5)*(MONTH(仕入データ表!$A$2:$A$31)&amp;"月"=K$2)*1,仕入データ表!$G$2:$G$31)</f>
        <v>815426</v>
      </c>
      <c r="L5" s="8">
        <f>SUMPRODUCT((仕入データ表!$C$2:$C$31=$I5)*(MONTH(仕入データ表!$A$2:$A$31)&amp;"月"=L$2)*1,仕入データ表!$G$2:$G$31)</f>
        <v>801440</v>
      </c>
    </row>
    <row r="6" spans="1:12">
      <c r="A6" s="7">
        <v>15</v>
      </c>
      <c r="B6" s="2" t="str">
        <f>VLOOKUP(A6,テーブル!$A$3:$E$7,2,0)</f>
        <v>商品Ｅ</v>
      </c>
      <c r="C6" s="3">
        <f>DSUM(仕入データ表!$A$1:$G$31,C$2,$E$11:$E$12)</f>
        <v>1709</v>
      </c>
      <c r="D6" s="3">
        <f>DSUM(仕入データ表!$A$1:$G$31,D$2,$E$11:$E$12)</f>
        <v>4602098</v>
      </c>
      <c r="E6" s="3">
        <f>DSUM(売上データ表!$A$1:$F$26,$E$2,$E$11:$E$12)</f>
        <v>1679</v>
      </c>
      <c r="F6" s="3">
        <f>SUMPRODUCT((売上データ表!$C$2:$C$26=A6)*1,売上データ表!$F$2:$F$26,売上データ表!$E$2:$E$26)</f>
        <v>4282937</v>
      </c>
      <c r="G6" s="8">
        <f>VLOOKUP(A6,テーブル!$A$3:$E$7,5,0)+C6-E6</f>
        <v>99</v>
      </c>
      <c r="I6" s="7" t="s">
        <v>32</v>
      </c>
      <c r="J6" s="3">
        <f>SUMPRODUCT((仕入データ表!$C$2:$C$31=$I6)*(MONTH(仕入データ表!$A$2:$A$31)&amp;"月"=J$2)*1,仕入データ表!$G$2:$G$31)</f>
        <v>1233906</v>
      </c>
      <c r="K6" s="3">
        <f>SUMPRODUCT((仕入データ表!$C$2:$C$31=$I6)*(MONTH(仕入データ表!$A$2:$A$31)&amp;"月"=K$2)*1,仕入データ表!$G$2:$G$31)</f>
        <v>1510888</v>
      </c>
      <c r="L6" s="8">
        <f>SUMPRODUCT((仕入データ表!$C$2:$C$31=$I6)*(MONTH(仕入データ表!$A$2:$A$31)&amp;"月"=L$2)*1,仕入データ表!$G$2:$G$31)</f>
        <v>1413330</v>
      </c>
    </row>
    <row r="7" spans="1:12" ht="14.25" thickBot="1">
      <c r="A7" s="7">
        <v>13</v>
      </c>
      <c r="B7" s="2" t="str">
        <f>VLOOKUP(A7,テーブル!$A$3:$E$7,2,0)</f>
        <v>商品Ｃ</v>
      </c>
      <c r="C7" s="3">
        <f>DSUM(仕入データ表!$A$1:$G$31,C$2,$C$11:$C$12)</f>
        <v>1489</v>
      </c>
      <c r="D7" s="3">
        <f>DSUM(仕入データ表!$A$1:$G$31,D$2,$C$11:$C$12)</f>
        <v>2412278</v>
      </c>
      <c r="E7" s="3">
        <f>DSUM(売上データ表!$A$1:$F$26,$E$2,$C$11:$C$12)</f>
        <v>1424</v>
      </c>
      <c r="F7" s="3">
        <f>SUMPRODUCT((売上データ表!$C$2:$C$26=A7)*1,売上データ表!$F$2:$F$26,売上データ表!$E$2:$E$26)</f>
        <v>3598474</v>
      </c>
      <c r="G7" s="8">
        <f>VLOOKUP(A7,テーブル!$A$3:$E$7,5,0)+C7-E7</f>
        <v>140</v>
      </c>
      <c r="I7" s="10" t="s">
        <v>45</v>
      </c>
      <c r="J7" s="12">
        <f>SUMPRODUCT((仕入データ表!$C$2:$C$31=$I7)*(MONTH(仕入データ表!$A$2:$A$31)&amp;"月"=J$2)*1,仕入データ表!$G$2:$G$31)</f>
        <v>1441450</v>
      </c>
      <c r="K7" s="12">
        <f>SUMPRODUCT((仕入データ表!$C$2:$C$31=$I7)*(MONTH(仕入データ表!$A$2:$A$31)&amp;"月"=K$2)*1,仕入データ表!$G$2:$G$31)</f>
        <v>1495618</v>
      </c>
      <c r="L7" s="16">
        <f>SUMPRODUCT((仕入データ表!$C$2:$C$31=$I7)*(MONTH(仕入データ表!$A$2:$A$31)&amp;"月"=L$2)*1,仕入データ表!$G$2:$G$31)</f>
        <v>1665030</v>
      </c>
    </row>
    <row r="8" spans="1:12">
      <c r="A8" s="7"/>
      <c r="B8" s="2"/>
      <c r="C8" s="2"/>
      <c r="D8" s="2"/>
      <c r="E8" s="2"/>
      <c r="F8" s="2"/>
      <c r="G8" s="9"/>
    </row>
    <row r="9" spans="1:12" ht="14.25" thickBot="1">
      <c r="A9" s="10"/>
      <c r="B9" s="11" t="s">
        <v>6</v>
      </c>
      <c r="C9" s="12">
        <f>SUM(C3:C7)</f>
        <v>7913</v>
      </c>
      <c r="D9" s="12">
        <f>SUM(D3:D7)</f>
        <v>18717180</v>
      </c>
      <c r="E9" s="12">
        <f>SUM(E3:E7)</f>
        <v>7739</v>
      </c>
      <c r="F9" s="12">
        <f>SUM(F3:F7)</f>
        <v>24486063</v>
      </c>
      <c r="G9" s="13">
        <f>SUM(G3:G7)</f>
        <v>516</v>
      </c>
    </row>
    <row r="10" spans="1:12" ht="14.25" thickBot="1"/>
    <row r="11" spans="1:12">
      <c r="A11" s="14" t="s">
        <v>0</v>
      </c>
      <c r="B11" s="14" t="s">
        <v>0</v>
      </c>
      <c r="C11" s="14" t="s">
        <v>0</v>
      </c>
      <c r="D11" s="14" t="s">
        <v>0</v>
      </c>
      <c r="E11" s="14" t="s">
        <v>0</v>
      </c>
    </row>
    <row r="12" spans="1:12" ht="14.25" thickBot="1">
      <c r="A12" s="15">
        <v>11</v>
      </c>
      <c r="B12" s="15">
        <v>12</v>
      </c>
      <c r="C12" s="15">
        <v>13</v>
      </c>
      <c r="D12" s="15">
        <v>14</v>
      </c>
      <c r="E12" s="15">
        <v>15</v>
      </c>
    </row>
  </sheetData>
  <mergeCells count="2">
    <mergeCell ref="A1:G1"/>
    <mergeCell ref="I1:L1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テーブル</vt:lpstr>
      <vt:lpstr>仕入データ表</vt:lpstr>
      <vt:lpstr>売上データ表</vt:lpstr>
      <vt:lpstr>計算表</vt:lpstr>
      <vt:lpstr>仕入データ表!Criteria</vt:lpstr>
      <vt:lpstr>仕入データ表!Extract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Printed>2019-10-04T07:37:52Z</cp:lastPrinted>
  <dcterms:created xsi:type="dcterms:W3CDTF">2019-03-28T01:49:55Z</dcterms:created>
  <dcterms:modified xsi:type="dcterms:W3CDTF">2021-02-19T04:36:42Z</dcterms:modified>
</cp:coreProperties>
</file>