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harts/chart6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imazu\Desktop\SPS模範解答\模範解答\"/>
    </mc:Choice>
  </mc:AlternateContent>
  <xr:revisionPtr revIDLastSave="0" documentId="13_ncr:1_{D9E31AA0-807A-4A97-90CC-CCAC0686E31E}" xr6:coauthVersionLast="46" xr6:coauthVersionMax="46" xr10:uidLastSave="{00000000-0000-0000-0000-000000000000}"/>
  <bookViews>
    <workbookView xWindow="4425" yWindow="2310" windowWidth="18000" windowHeight="9360" xr2:uid="{00000000-000D-0000-FFFF-FFFF00000000}"/>
  </bookViews>
  <sheets>
    <sheet name="テーブル" sheetId="1" r:id="rId1"/>
    <sheet name="上期" sheetId="2" r:id="rId2"/>
    <sheet name="下期" sheetId="3" r:id="rId3"/>
    <sheet name="計算表" sheetId="4" r:id="rId4"/>
  </sheets>
  <calcPr calcId="191029"/>
</workbook>
</file>

<file path=xl/calcChain.xml><?xml version="1.0" encoding="utf-8"?>
<calcChain xmlns="http://schemas.openxmlformats.org/spreadsheetml/2006/main">
  <c r="C3" i="4" l="1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B4" i="4"/>
  <c r="B5" i="4"/>
  <c r="B6" i="4"/>
  <c r="B7" i="4"/>
  <c r="B8" i="4"/>
  <c r="B9" i="4"/>
  <c r="B10" i="4"/>
  <c r="B11" i="4"/>
  <c r="B3" i="4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2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2" i="3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2" i="2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D37" i="3" l="1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H30" i="3" l="1"/>
  <c r="H14" i="3"/>
  <c r="H18" i="3"/>
  <c r="H26" i="3"/>
  <c r="H34" i="3"/>
  <c r="H22" i="3"/>
  <c r="H33" i="3"/>
  <c r="H25" i="3"/>
  <c r="H17" i="3"/>
  <c r="H37" i="3"/>
  <c r="H29" i="3"/>
  <c r="H21" i="3"/>
  <c r="H36" i="3"/>
  <c r="H32" i="3"/>
  <c r="H28" i="3"/>
  <c r="H24" i="3"/>
  <c r="H20" i="3"/>
  <c r="H16" i="3"/>
  <c r="H35" i="3"/>
  <c r="H31" i="3"/>
  <c r="H27" i="3"/>
  <c r="H23" i="3"/>
  <c r="H19" i="3"/>
  <c r="H15" i="3"/>
  <c r="E39" i="3"/>
  <c r="H34" i="2"/>
  <c r="H30" i="2"/>
  <c r="H26" i="2"/>
  <c r="H22" i="2"/>
  <c r="H18" i="2"/>
  <c r="H14" i="2"/>
  <c r="H37" i="2"/>
  <c r="H33" i="2"/>
  <c r="H29" i="2"/>
  <c r="H25" i="2"/>
  <c r="H21" i="2"/>
  <c r="H32" i="2"/>
  <c r="H20" i="2"/>
  <c r="H36" i="2"/>
  <c r="H28" i="2"/>
  <c r="H16" i="2"/>
  <c r="H35" i="2"/>
  <c r="H31" i="2"/>
  <c r="H27" i="2"/>
  <c r="H23" i="2"/>
  <c r="H19" i="2"/>
  <c r="H15" i="2"/>
  <c r="H17" i="2"/>
  <c r="H24" i="2"/>
  <c r="E39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" i="2"/>
  <c r="D4" i="2"/>
  <c r="D5" i="2"/>
  <c r="D6" i="2"/>
  <c r="D7" i="2"/>
  <c r="D8" i="2"/>
  <c r="D9" i="2"/>
  <c r="D10" i="2"/>
  <c r="D11" i="2"/>
  <c r="D12" i="2"/>
  <c r="D13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2" i="2"/>
  <c r="F39" i="3" l="1"/>
  <c r="F39" i="2"/>
  <c r="H13" i="3" l="1"/>
  <c r="D13" i="3"/>
  <c r="H12" i="3"/>
  <c r="D12" i="3"/>
  <c r="H11" i="3"/>
  <c r="D11" i="3"/>
  <c r="H10" i="3"/>
  <c r="D10" i="3"/>
  <c r="H9" i="3"/>
  <c r="D9" i="3"/>
  <c r="H8" i="3"/>
  <c r="D8" i="3"/>
  <c r="H7" i="3"/>
  <c r="D7" i="3"/>
  <c r="H6" i="3"/>
  <c r="D6" i="3"/>
  <c r="H5" i="3"/>
  <c r="D5" i="3"/>
  <c r="H4" i="3"/>
  <c r="D4" i="3"/>
  <c r="H3" i="3"/>
  <c r="D3" i="3"/>
  <c r="D2" i="3"/>
  <c r="H5" i="2"/>
  <c r="H6" i="2"/>
  <c r="H7" i="2"/>
  <c r="H8" i="2"/>
  <c r="H9" i="2"/>
  <c r="H10" i="2"/>
  <c r="H11" i="2"/>
  <c r="H12" i="2"/>
  <c r="H13" i="2"/>
  <c r="D2" i="2"/>
  <c r="H7" i="4"/>
  <c r="H6" i="4"/>
  <c r="H5" i="4"/>
  <c r="I4" i="4"/>
  <c r="G4" i="4"/>
  <c r="H4" i="4"/>
  <c r="K7" i="4"/>
  <c r="M6" i="4"/>
  <c r="M4" i="4"/>
  <c r="N7" i="4"/>
  <c r="I5" i="4"/>
  <c r="I7" i="4"/>
  <c r="K4" i="4"/>
  <c r="L7" i="4"/>
  <c r="L6" i="4"/>
  <c r="L4" i="4"/>
  <c r="J7" i="4"/>
  <c r="I6" i="4"/>
  <c r="G7" i="4"/>
  <c r="L5" i="4"/>
  <c r="K5" i="4"/>
  <c r="M7" i="4"/>
  <c r="G6" i="4"/>
  <c r="G5" i="4"/>
  <c r="M5" i="4"/>
  <c r="N6" i="4"/>
  <c r="K6" i="4"/>
  <c r="N5" i="4"/>
  <c r="H2" i="3" l="1"/>
  <c r="G39" i="3"/>
  <c r="H2" i="2"/>
  <c r="G39" i="2"/>
  <c r="H4" i="2"/>
  <c r="H3" i="2"/>
  <c r="N4" i="4"/>
  <c r="J6" i="4"/>
  <c r="J5" i="4"/>
  <c r="J4" i="4"/>
  <c r="G9" i="4" l="1"/>
  <c r="H9" i="4"/>
  <c r="I9" i="4"/>
  <c r="K9" i="4"/>
  <c r="O4" i="4"/>
  <c r="P4" i="4"/>
  <c r="V4" i="4" s="1"/>
  <c r="L9" i="4"/>
  <c r="R7" i="4"/>
  <c r="O5" i="4"/>
  <c r="P6" i="4"/>
  <c r="V6" i="4" s="1"/>
  <c r="O7" i="4"/>
  <c r="Q7" i="4"/>
  <c r="Q5" i="4"/>
  <c r="M9" i="4"/>
  <c r="Q4" i="4"/>
  <c r="P5" i="4"/>
  <c r="T5" i="4" s="1"/>
  <c r="Q6" i="4"/>
  <c r="P7" i="4"/>
  <c r="T7" i="4" s="1"/>
  <c r="O6" i="4"/>
  <c r="N9" i="4"/>
  <c r="H39" i="3"/>
  <c r="R6" i="4"/>
  <c r="R5" i="4"/>
  <c r="R4" i="4"/>
  <c r="J9" i="4"/>
  <c r="H39" i="2"/>
  <c r="Q9" i="4" l="1"/>
  <c r="P9" i="4"/>
  <c r="T6" i="4"/>
  <c r="T4" i="4"/>
  <c r="O9" i="4"/>
  <c r="S6" i="4"/>
  <c r="U6" i="4" s="1"/>
  <c r="S4" i="4"/>
  <c r="V5" i="4"/>
  <c r="S7" i="4"/>
  <c r="U7" i="4" s="1"/>
  <c r="V7" i="4"/>
  <c r="S5" i="4"/>
  <c r="U5" i="4" s="1"/>
  <c r="R9" i="4"/>
  <c r="T9" i="4" l="1"/>
  <c r="S9" i="4"/>
  <c r="U4" i="4"/>
</calcChain>
</file>

<file path=xl/sharedStrings.xml><?xml version="1.0" encoding="utf-8"?>
<sst xmlns="http://schemas.openxmlformats.org/spreadsheetml/2006/main" count="90" uniqueCount="44">
  <si>
    <t>合　計</t>
    <rPh sb="0" eb="1">
      <t>ア</t>
    </rPh>
    <rPh sb="2" eb="3">
      <t>ケイ</t>
    </rPh>
    <phoneticPr fontId="5"/>
  </si>
  <si>
    <t>委託先名</t>
  </si>
  <si>
    <t>委託先名</t>
    <rPh sb="0" eb="2">
      <t>イタク</t>
    </rPh>
    <phoneticPr fontId="2"/>
  </si>
  <si>
    <t>委託数</t>
    <rPh sb="0" eb="2">
      <t>イタク</t>
    </rPh>
    <rPh sb="2" eb="3">
      <t>スウ</t>
    </rPh>
    <phoneticPr fontId="2"/>
  </si>
  <si>
    <t>販売数</t>
    <rPh sb="0" eb="2">
      <t>ハンバイ</t>
    </rPh>
    <rPh sb="2" eb="3">
      <t>スウ</t>
    </rPh>
    <phoneticPr fontId="2"/>
  </si>
  <si>
    <t>返品数</t>
    <rPh sb="0" eb="2">
      <t>ヘンピン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</si>
  <si>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</si>
  <si>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手数料</t>
    <rPh sb="0" eb="3">
      <t>テスウリョウ</t>
    </rPh>
    <phoneticPr fontId="2"/>
  </si>
  <si>
    <t>手数料率</t>
    <rPh sb="0" eb="3">
      <t>テスウリョウ</t>
    </rPh>
    <phoneticPr fontId="2"/>
  </si>
  <si>
    <t>判定</t>
    <rPh sb="0" eb="2">
      <t>ハンテイ</t>
    </rPh>
    <phoneticPr fontId="2"/>
  </si>
  <si>
    <t>＜商品テーブル＞</t>
    <rPh sb="1" eb="3">
      <t>ショウヒン</t>
    </rPh>
    <phoneticPr fontId="2"/>
  </si>
  <si>
    <t>商品名</t>
    <rPh sb="0" eb="2">
      <t>ショウヒン</t>
    </rPh>
    <rPh sb="2" eb="3">
      <t>メイ</t>
    </rPh>
    <phoneticPr fontId="2"/>
  </si>
  <si>
    <t>売価</t>
    <rPh sb="0" eb="2">
      <t>バイカ</t>
    </rPh>
    <phoneticPr fontId="2"/>
  </si>
  <si>
    <t>＜委託先テーブル＞</t>
    <rPh sb="1" eb="3">
      <t>イタク</t>
    </rPh>
    <phoneticPr fontId="2"/>
  </si>
  <si>
    <t>目標数</t>
    <rPh sb="0" eb="2">
      <t>モクヒョウ</t>
    </rPh>
    <rPh sb="2" eb="3">
      <t>スウ</t>
    </rPh>
    <phoneticPr fontId="2"/>
  </si>
  <si>
    <t>合　計</t>
    <phoneticPr fontId="2"/>
  </si>
  <si>
    <t>委　託　先　別　計　算　表</t>
    <rPh sb="0" eb="1">
      <t>イ</t>
    </rPh>
    <rPh sb="2" eb="3">
      <t>タク</t>
    </rPh>
    <rPh sb="4" eb="5">
      <t>サキ</t>
    </rPh>
    <rPh sb="8" eb="9">
      <t>ケイ</t>
    </rPh>
    <rPh sb="10" eb="11">
      <t>サン</t>
    </rPh>
    <rPh sb="12" eb="13">
      <t>ヒョウ</t>
    </rPh>
    <phoneticPr fontId="2"/>
  </si>
  <si>
    <t>商ＣＯ</t>
    <rPh sb="0" eb="1">
      <t>ショウ</t>
    </rPh>
    <phoneticPr fontId="2"/>
  </si>
  <si>
    <t>委ＣＯ</t>
    <rPh sb="0" eb="1">
      <t>イ</t>
    </rPh>
    <phoneticPr fontId="2"/>
  </si>
  <si>
    <t>商品別総括表</t>
    <rPh sb="0" eb="2">
      <t>ショウヒン</t>
    </rPh>
    <rPh sb="2" eb="3">
      <t>ベツ</t>
    </rPh>
    <rPh sb="3" eb="6">
      <t>ソウカツヒョウ</t>
    </rPh>
    <phoneticPr fontId="2"/>
  </si>
  <si>
    <t>特別奨励金</t>
    <rPh sb="0" eb="2">
      <t>トクベツ</t>
    </rPh>
    <rPh sb="2" eb="5">
      <t>ショウレイキン</t>
    </rPh>
    <phoneticPr fontId="2"/>
  </si>
  <si>
    <t>返品率</t>
    <rPh sb="0" eb="2">
      <t>ヘンピン</t>
    </rPh>
    <rPh sb="2" eb="3">
      <t>リツ</t>
    </rPh>
    <phoneticPr fontId="2"/>
  </si>
  <si>
    <t>Ｓ商品</t>
    <phoneticPr fontId="2"/>
  </si>
  <si>
    <t>Ｔ商品</t>
    <phoneticPr fontId="2"/>
  </si>
  <si>
    <t>Ｕ商品</t>
    <phoneticPr fontId="2"/>
  </si>
  <si>
    <t>山川総業</t>
    <rPh sb="0" eb="2">
      <t>ヤマカワ</t>
    </rPh>
    <rPh sb="2" eb="4">
      <t>ソウギョウ</t>
    </rPh>
    <phoneticPr fontId="2"/>
  </si>
  <si>
    <t>あおき堂</t>
    <rPh sb="3" eb="4">
      <t>ドウ</t>
    </rPh>
    <phoneticPr fontId="2"/>
  </si>
  <si>
    <t>片山商事</t>
    <rPh sb="0" eb="2">
      <t>カタヤマ</t>
    </rPh>
    <rPh sb="2" eb="4">
      <t>ショウジ</t>
    </rPh>
    <phoneticPr fontId="2"/>
  </si>
  <si>
    <t>鈴木青果</t>
    <rPh sb="0" eb="2">
      <t>スズキ</t>
    </rPh>
    <rPh sb="2" eb="4">
      <t>セイカ</t>
    </rPh>
    <phoneticPr fontId="2"/>
  </si>
  <si>
    <t>達成率</t>
    <rPh sb="0" eb="3">
      <t>タッセイリツ</t>
    </rPh>
    <phoneticPr fontId="2"/>
  </si>
  <si>
    <t>Ｖ商品</t>
    <phoneticPr fontId="2"/>
  </si>
  <si>
    <t>Ｗ商品</t>
    <phoneticPr fontId="2"/>
  </si>
  <si>
    <t>Ｚ商品</t>
    <phoneticPr fontId="2"/>
  </si>
  <si>
    <t>Ｙ商品</t>
    <phoneticPr fontId="2"/>
  </si>
  <si>
    <t>Ｘ商品</t>
    <phoneticPr fontId="2"/>
  </si>
  <si>
    <t>Ｒ商品</t>
    <phoneticPr fontId="2"/>
  </si>
  <si>
    <t>上期</t>
    <rPh sb="0" eb="2">
      <t>カミキ</t>
    </rPh>
    <phoneticPr fontId="2"/>
  </si>
  <si>
    <t>下期</t>
    <rPh sb="0" eb="2">
      <t>シモキ</t>
    </rPh>
    <phoneticPr fontId="2"/>
  </si>
  <si>
    <t>鈴木青果</t>
  </si>
  <si>
    <t>山川総業</t>
  </si>
  <si>
    <t>あおき堂</t>
  </si>
  <si>
    <t>片山商事</t>
  </si>
  <si>
    <t>全期</t>
    <rPh sb="0" eb="1">
      <t>ゼン</t>
    </rPh>
    <rPh sb="1" eb="2">
      <t>キ</t>
    </rPh>
    <phoneticPr fontId="2"/>
  </si>
  <si>
    <t>委託先名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</si>
</sst>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38" fontId="4" fillId="0" borderId="1" xfId="2" applyFont="1" applyBorder="1">
      <alignment vertical="center"/>
    </xf>
    <xf numFmtId="0" fontId="4" fillId="0" borderId="6" xfId="0" applyFont="1" applyBorder="1">
      <alignment vertical="center"/>
    </xf>
    <xf numFmtId="176" fontId="4" fillId="0" borderId="6" xfId="1" applyNumberFormat="1" applyFont="1" applyBorder="1">
      <alignment vertical="center"/>
    </xf>
    <xf numFmtId="38" fontId="4" fillId="0" borderId="8" xfId="2" applyFont="1" applyBorder="1">
      <alignment vertical="center"/>
    </xf>
    <xf numFmtId="0" fontId="4" fillId="0" borderId="9" xfId="0" applyFont="1" applyBorder="1">
      <alignment vertical="center"/>
    </xf>
    <xf numFmtId="38" fontId="4" fillId="0" borderId="8" xfId="0" applyNumberFormat="1" applyFont="1" applyBorder="1">
      <alignment vertical="center"/>
    </xf>
    <xf numFmtId="0" fontId="4" fillId="0" borderId="11" xfId="0" applyFont="1" applyBorder="1">
      <alignment vertical="center"/>
    </xf>
    <xf numFmtId="38" fontId="4" fillId="0" borderId="9" xfId="2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1" xfId="0" applyFont="1" applyBorder="1">
      <alignment vertical="center"/>
    </xf>
    <xf numFmtId="38" fontId="4" fillId="0" borderId="0" xfId="0" applyNumberFormat="1" applyFont="1" applyBorder="1">
      <alignment vertical="center"/>
    </xf>
    <xf numFmtId="38" fontId="4" fillId="0" borderId="0" xfId="0" applyNumberFormat="1" applyFont="1">
      <alignment vertical="center"/>
    </xf>
    <xf numFmtId="0" fontId="4" fillId="0" borderId="8" xfId="0" applyFont="1" applyBorder="1">
      <alignment vertical="center"/>
    </xf>
    <xf numFmtId="176" fontId="6" fillId="0" borderId="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3" fontId="6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38" fontId="4" fillId="0" borderId="1" xfId="2" applyNumberFormat="1" applyFont="1" applyBorder="1">
      <alignment vertical="center"/>
    </xf>
    <xf numFmtId="0" fontId="0" fillId="0" borderId="0" xfId="0" applyFont="1" applyBorder="1">
      <alignment vertical="center"/>
    </xf>
    <xf numFmtId="38" fontId="4" fillId="0" borderId="0" xfId="2" applyFont="1" applyBorder="1">
      <alignment vertical="center"/>
    </xf>
    <xf numFmtId="0" fontId="0" fillId="0" borderId="5" xfId="0" applyFont="1" applyBorder="1">
      <alignment vertical="center"/>
    </xf>
    <xf numFmtId="38" fontId="4" fillId="0" borderId="6" xfId="2" applyFont="1" applyBorder="1">
      <alignment vertical="center"/>
    </xf>
    <xf numFmtId="0" fontId="0" fillId="0" borderId="7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4" fillId="0" borderId="0" xfId="0" quotePrefix="1" applyFo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0" fillId="0" borderId="17" xfId="0" applyFont="1" applyFill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" xfId="0" applyFont="1" applyFill="1" applyBorder="1">
      <alignment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0" fillId="0" borderId="1" xfId="0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38" fontId="4" fillId="0" borderId="1" xfId="0" applyNumberFormat="1" applyFont="1" applyFill="1" applyBorder="1">
      <alignment vertical="center"/>
    </xf>
    <xf numFmtId="38" fontId="4" fillId="0" borderId="1" xfId="2" applyFont="1" applyFill="1" applyBorder="1">
      <alignment vertical="center"/>
    </xf>
    <xf numFmtId="176" fontId="4" fillId="0" borderId="6" xfId="1" applyNumberFormat="1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3" xfId="0" applyFont="1" applyFill="1" applyBorder="1">
      <alignment vertical="center"/>
    </xf>
    <xf numFmtId="0" fontId="4" fillId="0" borderId="14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0" fillId="0" borderId="8" xfId="0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38" fontId="4" fillId="0" borderId="8" xfId="2" applyFont="1" applyFill="1" applyBorder="1">
      <alignment vertical="center"/>
    </xf>
    <xf numFmtId="38" fontId="4" fillId="0" borderId="9" xfId="2" applyFont="1" applyFill="1" applyBorder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872-4F2A-A3FA-BD71C66E1D68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872-4F2A-A3FA-BD71C66E1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27392"/>
        <c:axId val="112428928"/>
      </c:barChart>
      <c:catAx>
        <c:axId val="11242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8928"/>
        <c:crosses val="autoZero"/>
        <c:auto val="1"/>
        <c:lblAlgn val="ctr"/>
        <c:lblOffset val="100"/>
        <c:noMultiLvlLbl val="0"/>
      </c:catAx>
      <c:valAx>
        <c:axId val="1124289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2739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2C3-49ED-A90A-B246F70D743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2C3-49ED-A90A-B246F70D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2454656"/>
        <c:axId val="112759552"/>
      </c:barChart>
      <c:catAx>
        <c:axId val="11245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759552"/>
        <c:crosses val="autoZero"/>
        <c:auto val="1"/>
        <c:lblAlgn val="ctr"/>
        <c:lblOffset val="100"/>
        <c:noMultiLvlLbl val="0"/>
      </c:catAx>
      <c:valAx>
        <c:axId val="1127595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245465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5D9-43FE-8366-7E90D7B8285A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5D9-43FE-8366-7E90D7B82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145728"/>
        <c:axId val="113147264"/>
      </c:barChart>
      <c:catAx>
        <c:axId val="11314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147264"/>
        <c:crosses val="autoZero"/>
        <c:auto val="1"/>
        <c:lblAlgn val="ctr"/>
        <c:lblOffset val="100"/>
        <c:noMultiLvlLbl val="0"/>
      </c:catAx>
      <c:valAx>
        <c:axId val="113147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1457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E2-4141-9A44-44E0D6FA21D2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E2-4141-9A44-44E0D6FA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13525504"/>
        <c:axId val="113527040"/>
      </c:barChart>
      <c:catAx>
        <c:axId val="113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7040"/>
        <c:crosses val="autoZero"/>
        <c:auto val="1"/>
        <c:lblAlgn val="ctr"/>
        <c:lblOffset val="100"/>
        <c:noMultiLvlLbl val="0"/>
      </c:catAx>
      <c:valAx>
        <c:axId val="1135270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1352550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189" l="0.70000000000000062" r="0.70000000000000062" t="0.75000000000000189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全期手数料の委託先別構成比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計算表!$R$3</c:f>
              <c:strCache>
                <c:ptCount val="1"/>
                <c:pt idx="0">
                  <c:v>手数料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計算表!$F$4:$F$7</c:f>
              <c:strCache>
                <c:ptCount val="4"/>
                <c:pt idx="0">
                  <c:v>山川総業</c:v>
                </c:pt>
                <c:pt idx="1">
                  <c:v>あおき堂</c:v>
                </c:pt>
                <c:pt idx="2">
                  <c:v>片山商事</c:v>
                </c:pt>
                <c:pt idx="3">
                  <c:v>鈴木青果</c:v>
                </c:pt>
              </c:strCache>
            </c:strRef>
          </c:cat>
          <c:val>
            <c:numRef>
              <c:f>計算表!$R$4:$R$7</c:f>
              <c:numCache>
                <c:formatCode>#,##0_);[Red]\(#,##0\)</c:formatCode>
                <c:ptCount val="4"/>
                <c:pt idx="0">
                  <c:v>903100</c:v>
                </c:pt>
                <c:pt idx="1">
                  <c:v>793400</c:v>
                </c:pt>
                <c:pt idx="2">
                  <c:v>702700</c:v>
                </c:pt>
                <c:pt idx="3">
                  <c:v>845800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6-46A4-BD18-0E66B939EAC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paperSize="13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商品別の販売額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計算表!$C$2</c:f>
              <c:strCache>
                <c:ptCount val="1"/>
                <c:pt idx="0">
                  <c:v>販売額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計算表!$A$3:$A$11</c:f>
              <c:strCache>
                <c:ptCount val="9"/>
                <c:pt idx="0">
                  <c:v>Ｒ商品</c:v>
                </c:pt>
                <c:pt idx="1">
                  <c:v>Ｓ商品</c:v>
                </c:pt>
                <c:pt idx="2">
                  <c:v>Ｔ商品</c:v>
                </c:pt>
                <c:pt idx="3">
                  <c:v>Ｕ商品</c:v>
                </c:pt>
                <c:pt idx="4">
                  <c:v>Ｖ商品</c:v>
                </c:pt>
                <c:pt idx="5">
                  <c:v>Ｗ商品</c:v>
                </c:pt>
                <c:pt idx="6">
                  <c:v>Ｘ商品</c:v>
                </c:pt>
                <c:pt idx="7">
                  <c:v>Ｙ商品</c:v>
                </c:pt>
                <c:pt idx="8">
                  <c:v>Ｚ商品</c:v>
                </c:pt>
              </c:strCache>
            </c:strRef>
          </c:cat>
          <c:val>
            <c:numRef>
              <c:f>計算表!$C$3:$C$11</c:f>
              <c:numCache>
                <c:formatCode>#,##0_);[Red]\(#,##0\)</c:formatCode>
                <c:ptCount val="9"/>
                <c:pt idx="0">
                  <c:v>1914840</c:v>
                </c:pt>
                <c:pt idx="1">
                  <c:v>2224060</c:v>
                </c:pt>
                <c:pt idx="2">
                  <c:v>2833920</c:v>
                </c:pt>
                <c:pt idx="3">
                  <c:v>3100420</c:v>
                </c:pt>
                <c:pt idx="4">
                  <c:v>3182960</c:v>
                </c:pt>
                <c:pt idx="5">
                  <c:v>3287550</c:v>
                </c:pt>
                <c:pt idx="6">
                  <c:v>3556020</c:v>
                </c:pt>
                <c:pt idx="7">
                  <c:v>3802000</c:v>
                </c:pt>
                <c:pt idx="8">
                  <c:v>3459250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64B-B34F-81E95CFD2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96032"/>
        <c:axId val="113210112"/>
      </c:barChart>
      <c:catAx>
        <c:axId val="113196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13210112"/>
        <c:crosses val="autoZero"/>
        <c:auto val="1"/>
        <c:lblAlgn val="ctr"/>
        <c:lblOffset val="100"/>
        <c:noMultiLvlLbl val="0"/>
      </c:catAx>
      <c:valAx>
        <c:axId val="1132101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13196032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95250</xdr:colOff>
      <xdr:row>13</xdr:row>
      <xdr:rowOff>66021</xdr:rowOff>
    </xdr:from>
    <xdr:to>
      <xdr:col>16</xdr:col>
      <xdr:colOff>581025</xdr:colOff>
      <xdr:row>29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25399</xdr:colOff>
      <xdr:row>13</xdr:row>
      <xdr:rowOff>68122</xdr:rowOff>
    </xdr:from>
    <xdr:to>
      <xdr:col>8</xdr:col>
      <xdr:colOff>800100</xdr:colOff>
      <xdr:row>29</xdr:row>
      <xdr:rowOff>19189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4.625" style="1" customWidth="1"/>
    <col min="5" max="5" width="7.5" style="1" bestFit="1" customWidth="1"/>
    <col min="6" max="7" width="9.5" style="1" bestFit="1" customWidth="1"/>
    <col min="8" max="8" width="7.5" style="1" bestFit="1" customWidth="1"/>
    <col min="9" max="16384" width="9" style="1"/>
  </cols>
  <sheetData>
    <row r="1" spans="1:8">
      <c r="A1" s="18" t="s">
        <v>10</v>
      </c>
      <c r="B1" s="16"/>
      <c r="C1" s="16"/>
      <c r="E1" s="18" t="s">
        <v>13</v>
      </c>
    </row>
    <row r="2" spans="1:8">
      <c r="A2" s="19" t="s">
        <v>17</v>
      </c>
      <c r="B2" s="17" t="s">
        <v>11</v>
      </c>
      <c r="C2" s="17" t="s">
        <v>12</v>
      </c>
      <c r="E2" s="17" t="s">
        <v>18</v>
      </c>
      <c r="F2" s="2" t="s">
        <v>1</v>
      </c>
      <c r="G2" s="17" t="s">
        <v>8</v>
      </c>
      <c r="H2" s="17" t="s">
        <v>14</v>
      </c>
    </row>
    <row r="3" spans="1:8">
      <c r="A3" s="4">
        <v>11</v>
      </c>
      <c r="B3" s="19" t="s">
        <v>35</v>
      </c>
      <c r="C3" s="5">
        <v>540</v>
      </c>
      <c r="E3" s="4">
        <v>101</v>
      </c>
      <c r="F3" s="26" t="s">
        <v>25</v>
      </c>
      <c r="G3" s="23">
        <v>0.124</v>
      </c>
      <c r="H3" s="25">
        <v>7830</v>
      </c>
    </row>
    <row r="4" spans="1:8">
      <c r="A4" s="4">
        <v>12</v>
      </c>
      <c r="B4" s="19" t="s">
        <v>22</v>
      </c>
      <c r="C4" s="5">
        <v>610</v>
      </c>
      <c r="E4" s="4">
        <v>102</v>
      </c>
      <c r="F4" s="26" t="s">
        <v>26</v>
      </c>
      <c r="G4" s="23">
        <v>0.11799999999999999</v>
      </c>
      <c r="H4" s="25">
        <v>8290</v>
      </c>
    </row>
    <row r="5" spans="1:8">
      <c r="A5" s="4">
        <v>13</v>
      </c>
      <c r="B5" s="19" t="s">
        <v>23</v>
      </c>
      <c r="C5" s="5">
        <v>720</v>
      </c>
      <c r="E5" s="4">
        <v>103</v>
      </c>
      <c r="F5" s="26" t="s">
        <v>27</v>
      </c>
      <c r="G5" s="23">
        <v>0.105</v>
      </c>
      <c r="H5" s="25">
        <v>7910</v>
      </c>
    </row>
    <row r="6" spans="1:8">
      <c r="A6" s="4">
        <v>14</v>
      </c>
      <c r="B6" s="19" t="s">
        <v>24</v>
      </c>
      <c r="C6" s="5">
        <v>820</v>
      </c>
      <c r="E6" s="4">
        <v>104</v>
      </c>
      <c r="F6" s="26" t="s">
        <v>28</v>
      </c>
      <c r="G6" s="23">
        <v>0.127</v>
      </c>
      <c r="H6" s="25">
        <v>8050</v>
      </c>
    </row>
    <row r="7" spans="1:8">
      <c r="A7" s="4">
        <v>15</v>
      </c>
      <c r="B7" s="19" t="s">
        <v>30</v>
      </c>
      <c r="C7" s="5">
        <v>880</v>
      </c>
    </row>
    <row r="8" spans="1:8">
      <c r="A8" s="4">
        <v>16</v>
      </c>
      <c r="B8" s="19" t="s">
        <v>31</v>
      </c>
      <c r="C8" s="5">
        <v>930</v>
      </c>
    </row>
    <row r="9" spans="1:8">
      <c r="A9" s="4">
        <v>17</v>
      </c>
      <c r="B9" s="19" t="s">
        <v>34</v>
      </c>
      <c r="C9" s="5">
        <v>970</v>
      </c>
    </row>
    <row r="10" spans="1:8">
      <c r="A10" s="4">
        <v>18</v>
      </c>
      <c r="B10" s="19" t="s">
        <v>33</v>
      </c>
      <c r="C10" s="5">
        <v>1000</v>
      </c>
    </row>
    <row r="11" spans="1:8">
      <c r="A11" s="4">
        <v>19</v>
      </c>
      <c r="B11" s="19" t="s">
        <v>32</v>
      </c>
      <c r="C11" s="5">
        <v>1010</v>
      </c>
    </row>
    <row r="13" spans="1:8">
      <c r="C13" s="16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9"/>
  <sheetViews>
    <sheetView zoomScaleNormal="100" workbookViewId="0"/>
  </sheetViews>
  <sheetFormatPr defaultRowHeight="13.5"/>
  <cols>
    <col min="1" max="3" width="7.5" style="1" bestFit="1" customWidth="1"/>
    <col min="4" max="4" width="9.5" style="1" bestFit="1" customWidth="1"/>
    <col min="5" max="6" width="7.5" style="1" customWidth="1"/>
    <col min="7" max="7" width="11.625" style="1" bestFit="1" customWidth="1"/>
    <col min="8" max="8" width="10.5" style="1" bestFit="1" customWidth="1"/>
    <col min="9" max="9" width="7.5" style="1" bestFit="1" customWidth="1"/>
    <col min="10" max="16384" width="9" style="1"/>
  </cols>
  <sheetData>
    <row r="1" spans="1:11">
      <c r="A1" s="46" t="s">
        <v>17</v>
      </c>
      <c r="B1" s="47" t="s">
        <v>11</v>
      </c>
      <c r="C1" s="47" t="s">
        <v>18</v>
      </c>
      <c r="D1" s="47" t="s">
        <v>2</v>
      </c>
      <c r="E1" s="47" t="s">
        <v>3</v>
      </c>
      <c r="F1" s="47" t="s">
        <v>4</v>
      </c>
      <c r="G1" s="47" t="s">
        <v>6</v>
      </c>
      <c r="H1" s="47" t="s">
        <v>7</v>
      </c>
      <c r="I1" s="48" t="s">
        <v>21</v>
      </c>
    </row>
    <row r="2" spans="1:11">
      <c r="A2" s="49">
        <v>11</v>
      </c>
      <c r="B2" s="50" t="str">
        <f>VLOOKUP(A2,テーブル!$A$3:$C$11,2,0)</f>
        <v>Ｒ商品</v>
      </c>
      <c r="C2" s="51">
        <v>101</v>
      </c>
      <c r="D2" s="51" t="str">
        <f>VLOOKUP(C2,テーブル!$E$3:$H$6,2,0)</f>
        <v>山川総業</v>
      </c>
      <c r="E2" s="52">
        <v>500</v>
      </c>
      <c r="F2" s="52">
        <v>460</v>
      </c>
      <c r="G2" s="53">
        <f>VLOOKUP(A2,テーブル!$A$3:$C$11,3,0)*F2</f>
        <v>248400</v>
      </c>
      <c r="H2" s="53">
        <f>ROUND(G2*VLOOKUP(C2,テーブル!$E$3:$H$6,3,0),-2)</f>
        <v>30800</v>
      </c>
      <c r="I2" s="54">
        <f>ROUNDDOWN(1-F2/E2,3)</f>
        <v>0.08</v>
      </c>
      <c r="K2" s="21"/>
    </row>
    <row r="3" spans="1:11">
      <c r="A3" s="49">
        <v>11</v>
      </c>
      <c r="B3" s="50" t="str">
        <f>VLOOKUP(A3,テーブル!$A$3:$C$11,2,0)</f>
        <v>Ｒ商品</v>
      </c>
      <c r="C3" s="51">
        <v>102</v>
      </c>
      <c r="D3" s="51" t="str">
        <f>VLOOKUP(C3,テーブル!$E$3:$H$6,2,0)</f>
        <v>あおき堂</v>
      </c>
      <c r="E3" s="52">
        <v>491</v>
      </c>
      <c r="F3" s="52">
        <v>451</v>
      </c>
      <c r="G3" s="53">
        <f>VLOOKUP(A3,テーブル!$A$3:$C$11,3,0)*F3</f>
        <v>243540</v>
      </c>
      <c r="H3" s="53">
        <f>ROUND(G3*VLOOKUP(C3,テーブル!$E$3:$H$6,3,0),-2)</f>
        <v>28700</v>
      </c>
      <c r="I3" s="54">
        <f t="shared" ref="I3:I37" si="0">ROUNDDOWN(1-F3/E3,3)</f>
        <v>8.1000000000000003E-2</v>
      </c>
      <c r="K3" s="21"/>
    </row>
    <row r="4" spans="1:11">
      <c r="A4" s="49">
        <v>11</v>
      </c>
      <c r="B4" s="50" t="str">
        <f>VLOOKUP(A4,テーブル!$A$3:$C$11,2,0)</f>
        <v>Ｒ商品</v>
      </c>
      <c r="C4" s="51">
        <v>103</v>
      </c>
      <c r="D4" s="51" t="str">
        <f>VLOOKUP(C4,テーブル!$E$3:$H$6,2,0)</f>
        <v>片山商事</v>
      </c>
      <c r="E4" s="52">
        <v>435</v>
      </c>
      <c r="F4" s="52">
        <v>395</v>
      </c>
      <c r="G4" s="53">
        <f>VLOOKUP(A4,テーブル!$A$3:$C$11,3,0)*F4</f>
        <v>213300</v>
      </c>
      <c r="H4" s="53">
        <f>ROUND(G4*VLOOKUP(C4,テーブル!$E$3:$H$6,3,0),-2)</f>
        <v>22400</v>
      </c>
      <c r="I4" s="54">
        <f t="shared" si="0"/>
        <v>9.0999999999999998E-2</v>
      </c>
      <c r="K4" s="21"/>
    </row>
    <row r="5" spans="1:11">
      <c r="A5" s="49">
        <v>11</v>
      </c>
      <c r="B5" s="50" t="str">
        <f>VLOOKUP(A5,テーブル!$A$3:$C$11,2,0)</f>
        <v>Ｒ商品</v>
      </c>
      <c r="C5" s="51">
        <v>104</v>
      </c>
      <c r="D5" s="51" t="str">
        <f>VLOOKUP(C5,テーブル!$E$3:$H$6,2,0)</f>
        <v>鈴木青果</v>
      </c>
      <c r="E5" s="52">
        <v>528</v>
      </c>
      <c r="F5" s="52">
        <v>485</v>
      </c>
      <c r="G5" s="53">
        <f>VLOOKUP(A5,テーブル!$A$3:$C$11,3,0)*F5</f>
        <v>261900</v>
      </c>
      <c r="H5" s="53">
        <f>ROUND(G5*VLOOKUP(C5,テーブル!$E$3:$H$6,3,0),-2)</f>
        <v>33300</v>
      </c>
      <c r="I5" s="54">
        <f t="shared" si="0"/>
        <v>8.1000000000000003E-2</v>
      </c>
      <c r="K5" s="21"/>
    </row>
    <row r="6" spans="1:11">
      <c r="A6" s="49">
        <v>12</v>
      </c>
      <c r="B6" s="50" t="str">
        <f>VLOOKUP(A6,テーブル!$A$3:$C$11,2,0)</f>
        <v>Ｓ商品</v>
      </c>
      <c r="C6" s="51">
        <v>101</v>
      </c>
      <c r="D6" s="51" t="str">
        <f>VLOOKUP(C6,テーブル!$E$3:$H$6,2,0)</f>
        <v>山川総業</v>
      </c>
      <c r="E6" s="52">
        <v>507</v>
      </c>
      <c r="F6" s="52">
        <v>464</v>
      </c>
      <c r="G6" s="53">
        <f>VLOOKUP(A6,テーブル!$A$3:$C$11,3,0)*F6</f>
        <v>283040</v>
      </c>
      <c r="H6" s="53">
        <f>ROUND(G6*VLOOKUP(C6,テーブル!$E$3:$H$6,3,0),-2)</f>
        <v>35100</v>
      </c>
      <c r="I6" s="54">
        <f t="shared" si="0"/>
        <v>8.4000000000000005E-2</v>
      </c>
      <c r="K6" s="21"/>
    </row>
    <row r="7" spans="1:11">
      <c r="A7" s="49">
        <v>12</v>
      </c>
      <c r="B7" s="50" t="str">
        <f>VLOOKUP(A7,テーブル!$A$3:$C$11,2,0)</f>
        <v>Ｓ商品</v>
      </c>
      <c r="C7" s="51">
        <v>102</v>
      </c>
      <c r="D7" s="51" t="str">
        <f>VLOOKUP(C7,テーブル!$E$3:$H$6,2,0)</f>
        <v>あおき堂</v>
      </c>
      <c r="E7" s="52">
        <v>475</v>
      </c>
      <c r="F7" s="52">
        <v>432</v>
      </c>
      <c r="G7" s="53">
        <f>VLOOKUP(A7,テーブル!$A$3:$C$11,3,0)*F7</f>
        <v>263520</v>
      </c>
      <c r="H7" s="53">
        <f>ROUND(G7*VLOOKUP(C7,テーブル!$E$3:$H$6,3,0),-2)</f>
        <v>31100</v>
      </c>
      <c r="I7" s="54">
        <f t="shared" si="0"/>
        <v>0.09</v>
      </c>
      <c r="K7" s="21"/>
    </row>
    <row r="8" spans="1:11">
      <c r="A8" s="49">
        <v>12</v>
      </c>
      <c r="B8" s="50" t="str">
        <f>VLOOKUP(A8,テーブル!$A$3:$C$11,2,0)</f>
        <v>Ｓ商品</v>
      </c>
      <c r="C8" s="51">
        <v>103</v>
      </c>
      <c r="D8" s="51" t="str">
        <f>VLOOKUP(C8,テーブル!$E$3:$H$6,2,0)</f>
        <v>片山商事</v>
      </c>
      <c r="E8" s="52">
        <v>464</v>
      </c>
      <c r="F8" s="52">
        <v>424</v>
      </c>
      <c r="G8" s="53">
        <f>VLOOKUP(A8,テーブル!$A$3:$C$11,3,0)*F8</f>
        <v>258640</v>
      </c>
      <c r="H8" s="53">
        <f>ROUND(G8*VLOOKUP(C8,テーブル!$E$3:$H$6,3,0),-2)</f>
        <v>27200</v>
      </c>
      <c r="I8" s="54">
        <f t="shared" si="0"/>
        <v>8.5999999999999993E-2</v>
      </c>
      <c r="K8" s="21"/>
    </row>
    <row r="9" spans="1:11">
      <c r="A9" s="49">
        <v>12</v>
      </c>
      <c r="B9" s="50" t="str">
        <f>VLOOKUP(A9,テーブル!$A$3:$C$11,2,0)</f>
        <v>Ｓ商品</v>
      </c>
      <c r="C9" s="51">
        <v>104</v>
      </c>
      <c r="D9" s="51" t="str">
        <f>VLOOKUP(C9,テーブル!$E$3:$H$6,2,0)</f>
        <v>鈴木青果</v>
      </c>
      <c r="E9" s="52">
        <v>487</v>
      </c>
      <c r="F9" s="52">
        <v>440</v>
      </c>
      <c r="G9" s="53">
        <f>VLOOKUP(A9,テーブル!$A$3:$C$11,3,0)*F9</f>
        <v>268400</v>
      </c>
      <c r="H9" s="53">
        <f>ROUND(G9*VLOOKUP(C9,テーブル!$E$3:$H$6,3,0),-2)</f>
        <v>34100</v>
      </c>
      <c r="I9" s="54">
        <f t="shared" si="0"/>
        <v>9.6000000000000002E-2</v>
      </c>
      <c r="K9" s="21"/>
    </row>
    <row r="10" spans="1:11">
      <c r="A10" s="49">
        <v>13</v>
      </c>
      <c r="B10" s="50" t="str">
        <f>VLOOKUP(A10,テーブル!$A$3:$C$11,2,0)</f>
        <v>Ｔ商品</v>
      </c>
      <c r="C10" s="51">
        <v>101</v>
      </c>
      <c r="D10" s="51" t="str">
        <f>VLOOKUP(C10,テーブル!$E$3:$H$6,2,0)</f>
        <v>山川総業</v>
      </c>
      <c r="E10" s="52">
        <v>533</v>
      </c>
      <c r="F10" s="52">
        <v>493</v>
      </c>
      <c r="G10" s="53">
        <f>VLOOKUP(A10,テーブル!$A$3:$C$11,3,0)*F10</f>
        <v>354960</v>
      </c>
      <c r="H10" s="53">
        <f>ROUND(G10*VLOOKUP(C10,テーブル!$E$3:$H$6,3,0),-2)</f>
        <v>44000</v>
      </c>
      <c r="I10" s="54">
        <f t="shared" si="0"/>
        <v>7.4999999999999997E-2</v>
      </c>
      <c r="K10" s="21"/>
    </row>
    <row r="11" spans="1:11">
      <c r="A11" s="49">
        <v>13</v>
      </c>
      <c r="B11" s="50" t="str">
        <f>VLOOKUP(A11,テーブル!$A$3:$C$11,2,0)</f>
        <v>Ｔ商品</v>
      </c>
      <c r="C11" s="51">
        <v>102</v>
      </c>
      <c r="D11" s="51" t="str">
        <f>VLOOKUP(C11,テーブル!$E$3:$H$6,2,0)</f>
        <v>あおき堂</v>
      </c>
      <c r="E11" s="52">
        <v>538</v>
      </c>
      <c r="F11" s="52">
        <v>494</v>
      </c>
      <c r="G11" s="53">
        <f>VLOOKUP(A11,テーブル!$A$3:$C$11,3,0)*F11</f>
        <v>355680</v>
      </c>
      <c r="H11" s="53">
        <f>ROUND(G11*VLOOKUP(C11,テーブル!$E$3:$H$6,3,0),-2)</f>
        <v>42000</v>
      </c>
      <c r="I11" s="54">
        <f t="shared" si="0"/>
        <v>8.1000000000000003E-2</v>
      </c>
      <c r="K11" s="21"/>
    </row>
    <row r="12" spans="1:11">
      <c r="A12" s="49">
        <v>13</v>
      </c>
      <c r="B12" s="50" t="str">
        <f>VLOOKUP(A12,テーブル!$A$3:$C$11,2,0)</f>
        <v>Ｔ商品</v>
      </c>
      <c r="C12" s="51">
        <v>103</v>
      </c>
      <c r="D12" s="51" t="str">
        <f>VLOOKUP(C12,テーブル!$E$3:$H$6,2,0)</f>
        <v>片山商事</v>
      </c>
      <c r="E12" s="52">
        <v>503</v>
      </c>
      <c r="F12" s="52">
        <v>457</v>
      </c>
      <c r="G12" s="53">
        <f>VLOOKUP(A12,テーブル!$A$3:$C$11,3,0)*F12</f>
        <v>329040</v>
      </c>
      <c r="H12" s="53">
        <f>ROUND(G12*VLOOKUP(C12,テーブル!$E$3:$H$6,3,0),-2)</f>
        <v>34500</v>
      </c>
      <c r="I12" s="54">
        <f t="shared" si="0"/>
        <v>9.0999999999999998E-2</v>
      </c>
      <c r="K12" s="21"/>
    </row>
    <row r="13" spans="1:11">
      <c r="A13" s="49">
        <v>13</v>
      </c>
      <c r="B13" s="50" t="str">
        <f>VLOOKUP(A13,テーブル!$A$3:$C$11,2,0)</f>
        <v>Ｔ商品</v>
      </c>
      <c r="C13" s="51">
        <v>104</v>
      </c>
      <c r="D13" s="51" t="str">
        <f>VLOOKUP(C13,テーブル!$E$3:$H$6,2,0)</f>
        <v>鈴木青果</v>
      </c>
      <c r="E13" s="52">
        <v>536</v>
      </c>
      <c r="F13" s="52">
        <v>496</v>
      </c>
      <c r="G13" s="53">
        <f>VLOOKUP(A13,テーブル!$A$3:$C$11,3,0)*F13</f>
        <v>357120</v>
      </c>
      <c r="H13" s="53">
        <f>ROUND(G13*VLOOKUP(C13,テーブル!$E$3:$H$6,3,0),-2)</f>
        <v>45400</v>
      </c>
      <c r="I13" s="54">
        <f t="shared" si="0"/>
        <v>7.3999999999999996E-2</v>
      </c>
      <c r="K13" s="21"/>
    </row>
    <row r="14" spans="1:11">
      <c r="A14" s="49">
        <v>14</v>
      </c>
      <c r="B14" s="50" t="str">
        <f>VLOOKUP(A14,テーブル!$A$3:$C$11,2,0)</f>
        <v>Ｕ商品</v>
      </c>
      <c r="C14" s="51">
        <v>101</v>
      </c>
      <c r="D14" s="51" t="str">
        <f>VLOOKUP(C14,テーブル!$E$3:$H$6,2,0)</f>
        <v>山川総業</v>
      </c>
      <c r="E14" s="52">
        <v>549</v>
      </c>
      <c r="F14" s="52">
        <v>509</v>
      </c>
      <c r="G14" s="53">
        <f>VLOOKUP(A14,テーブル!$A$3:$C$11,3,0)*F14</f>
        <v>417380</v>
      </c>
      <c r="H14" s="53">
        <f>ROUND(G14*VLOOKUP(C14,テーブル!$E$3:$H$6,3,0),-2)</f>
        <v>51800</v>
      </c>
      <c r="I14" s="54">
        <f t="shared" si="0"/>
        <v>7.1999999999999995E-2</v>
      </c>
      <c r="K14" s="21"/>
    </row>
    <row r="15" spans="1:11">
      <c r="A15" s="49">
        <v>14</v>
      </c>
      <c r="B15" s="50" t="str">
        <f>VLOOKUP(A15,テーブル!$A$3:$C$11,2,0)</f>
        <v>Ｕ商品</v>
      </c>
      <c r="C15" s="51">
        <v>102</v>
      </c>
      <c r="D15" s="51" t="str">
        <f>VLOOKUP(C15,テーブル!$E$3:$H$6,2,0)</f>
        <v>あおき堂</v>
      </c>
      <c r="E15" s="52">
        <v>510</v>
      </c>
      <c r="F15" s="52">
        <v>462</v>
      </c>
      <c r="G15" s="53">
        <f>VLOOKUP(A15,テーブル!$A$3:$C$11,3,0)*F15</f>
        <v>378840</v>
      </c>
      <c r="H15" s="53">
        <f>ROUND(G15*VLOOKUP(C15,テーブル!$E$3:$H$6,3,0),-2)</f>
        <v>44700</v>
      </c>
      <c r="I15" s="54">
        <f t="shared" si="0"/>
        <v>9.4E-2</v>
      </c>
      <c r="K15" s="21"/>
    </row>
    <row r="16" spans="1:11">
      <c r="A16" s="49">
        <v>14</v>
      </c>
      <c r="B16" s="50" t="str">
        <f>VLOOKUP(A16,テーブル!$A$3:$C$11,2,0)</f>
        <v>Ｕ商品</v>
      </c>
      <c r="C16" s="51">
        <v>103</v>
      </c>
      <c r="D16" s="51" t="str">
        <f>VLOOKUP(C16,テーブル!$E$3:$H$6,2,0)</f>
        <v>片山商事</v>
      </c>
      <c r="E16" s="52">
        <v>432</v>
      </c>
      <c r="F16" s="52">
        <v>392</v>
      </c>
      <c r="G16" s="53">
        <f>VLOOKUP(A16,テーブル!$A$3:$C$11,3,0)*F16</f>
        <v>321440</v>
      </c>
      <c r="H16" s="53">
        <f>ROUND(G16*VLOOKUP(C16,テーブル!$E$3:$H$6,3,0),-2)</f>
        <v>33800</v>
      </c>
      <c r="I16" s="54">
        <f t="shared" si="0"/>
        <v>9.1999999999999998E-2</v>
      </c>
      <c r="K16" s="21"/>
    </row>
    <row r="17" spans="1:11">
      <c r="A17" s="49">
        <v>14</v>
      </c>
      <c r="B17" s="50" t="str">
        <f>VLOOKUP(A17,テーブル!$A$3:$C$11,2,0)</f>
        <v>Ｕ商品</v>
      </c>
      <c r="C17" s="51">
        <v>104</v>
      </c>
      <c r="D17" s="51" t="str">
        <f>VLOOKUP(C17,テーブル!$E$3:$H$6,2,0)</f>
        <v>鈴木青果</v>
      </c>
      <c r="E17" s="52">
        <v>514</v>
      </c>
      <c r="F17" s="52">
        <v>471</v>
      </c>
      <c r="G17" s="53">
        <f>VLOOKUP(A17,テーブル!$A$3:$C$11,3,0)*F17</f>
        <v>386220</v>
      </c>
      <c r="H17" s="53">
        <f>ROUND(G17*VLOOKUP(C17,テーブル!$E$3:$H$6,3,0),-2)</f>
        <v>49000</v>
      </c>
      <c r="I17" s="54">
        <f t="shared" si="0"/>
        <v>8.3000000000000004E-2</v>
      </c>
      <c r="K17" s="21"/>
    </row>
    <row r="18" spans="1:11">
      <c r="A18" s="49">
        <v>15</v>
      </c>
      <c r="B18" s="50" t="str">
        <f>VLOOKUP(A18,テーブル!$A$3:$C$11,2,0)</f>
        <v>Ｖ商品</v>
      </c>
      <c r="C18" s="51">
        <v>101</v>
      </c>
      <c r="D18" s="51" t="str">
        <f>VLOOKUP(C18,テーブル!$E$3:$H$6,2,0)</f>
        <v>山川総業</v>
      </c>
      <c r="E18" s="52">
        <v>576</v>
      </c>
      <c r="F18" s="52">
        <v>534</v>
      </c>
      <c r="G18" s="53">
        <f>VLOOKUP(A18,テーブル!$A$3:$C$11,3,0)*F18</f>
        <v>469920</v>
      </c>
      <c r="H18" s="53">
        <f>ROUND(G18*VLOOKUP(C18,テーブル!$E$3:$H$6,3,0),-2)</f>
        <v>58300</v>
      </c>
      <c r="I18" s="54">
        <f t="shared" si="0"/>
        <v>7.1999999999999995E-2</v>
      </c>
      <c r="K18" s="21"/>
    </row>
    <row r="19" spans="1:11">
      <c r="A19" s="49">
        <v>15</v>
      </c>
      <c r="B19" s="50" t="str">
        <f>VLOOKUP(A19,テーブル!$A$3:$C$11,2,0)</f>
        <v>Ｖ商品</v>
      </c>
      <c r="C19" s="51">
        <v>102</v>
      </c>
      <c r="D19" s="51" t="str">
        <f>VLOOKUP(C19,テーブル!$E$3:$H$6,2,0)</f>
        <v>あおき堂</v>
      </c>
      <c r="E19" s="52">
        <v>544</v>
      </c>
      <c r="F19" s="52">
        <v>496</v>
      </c>
      <c r="G19" s="53">
        <f>VLOOKUP(A19,テーブル!$A$3:$C$11,3,0)*F19</f>
        <v>436480</v>
      </c>
      <c r="H19" s="53">
        <f>ROUND(G19*VLOOKUP(C19,テーブル!$E$3:$H$6,3,0),-2)</f>
        <v>51500</v>
      </c>
      <c r="I19" s="54">
        <f t="shared" si="0"/>
        <v>8.7999999999999995E-2</v>
      </c>
      <c r="K19" s="21"/>
    </row>
    <row r="20" spans="1:11">
      <c r="A20" s="49">
        <v>15</v>
      </c>
      <c r="B20" s="50" t="str">
        <f>VLOOKUP(A20,テーブル!$A$3:$C$11,2,0)</f>
        <v>Ｖ商品</v>
      </c>
      <c r="C20" s="51">
        <v>103</v>
      </c>
      <c r="D20" s="51" t="str">
        <f>VLOOKUP(C20,テーブル!$E$3:$H$6,2,0)</f>
        <v>片山商事</v>
      </c>
      <c r="E20" s="52">
        <v>447</v>
      </c>
      <c r="F20" s="52">
        <v>405</v>
      </c>
      <c r="G20" s="53">
        <f>VLOOKUP(A20,テーブル!$A$3:$C$11,3,0)*F20</f>
        <v>356400</v>
      </c>
      <c r="H20" s="53">
        <f>ROUND(G20*VLOOKUP(C20,テーブル!$E$3:$H$6,3,0),-2)</f>
        <v>37400</v>
      </c>
      <c r="I20" s="54">
        <f t="shared" si="0"/>
        <v>9.2999999999999999E-2</v>
      </c>
      <c r="K20" s="21"/>
    </row>
    <row r="21" spans="1:11">
      <c r="A21" s="49">
        <v>15</v>
      </c>
      <c r="B21" s="50" t="str">
        <f>VLOOKUP(A21,テーブル!$A$3:$C$11,2,0)</f>
        <v>Ｖ商品</v>
      </c>
      <c r="C21" s="51">
        <v>104</v>
      </c>
      <c r="D21" s="51" t="str">
        <f>VLOOKUP(C21,テーブル!$E$3:$H$6,2,0)</f>
        <v>鈴木青果</v>
      </c>
      <c r="E21" s="52">
        <v>431</v>
      </c>
      <c r="F21" s="52">
        <v>390</v>
      </c>
      <c r="G21" s="53">
        <f>VLOOKUP(A21,テーブル!$A$3:$C$11,3,0)*F21</f>
        <v>343200</v>
      </c>
      <c r="H21" s="53">
        <f>ROUND(G21*VLOOKUP(C21,テーブル!$E$3:$H$6,3,0),-2)</f>
        <v>43600</v>
      </c>
      <c r="I21" s="54">
        <f t="shared" si="0"/>
        <v>9.5000000000000001E-2</v>
      </c>
      <c r="K21" s="21"/>
    </row>
    <row r="22" spans="1:11">
      <c r="A22" s="49">
        <v>16</v>
      </c>
      <c r="B22" s="50" t="str">
        <f>VLOOKUP(A22,テーブル!$A$3:$C$11,2,0)</f>
        <v>Ｗ商品</v>
      </c>
      <c r="C22" s="51">
        <v>101</v>
      </c>
      <c r="D22" s="51" t="str">
        <f>VLOOKUP(C22,テーブル!$E$3:$H$6,2,0)</f>
        <v>山川総業</v>
      </c>
      <c r="E22" s="52">
        <v>531</v>
      </c>
      <c r="F22" s="52">
        <v>490</v>
      </c>
      <c r="G22" s="53">
        <f>VLOOKUP(A22,テーブル!$A$3:$C$11,3,0)*F22</f>
        <v>455700</v>
      </c>
      <c r="H22" s="53">
        <f>ROUND(G22*VLOOKUP(C22,テーブル!$E$3:$H$6,3,0),-2)</f>
        <v>56500</v>
      </c>
      <c r="I22" s="54">
        <f t="shared" si="0"/>
        <v>7.6999999999999999E-2</v>
      </c>
      <c r="K22" s="21"/>
    </row>
    <row r="23" spans="1:11">
      <c r="A23" s="49">
        <v>16</v>
      </c>
      <c r="B23" s="50" t="str">
        <f>VLOOKUP(A23,テーブル!$A$3:$C$11,2,0)</f>
        <v>Ｗ商品</v>
      </c>
      <c r="C23" s="51">
        <v>102</v>
      </c>
      <c r="D23" s="51" t="str">
        <f>VLOOKUP(C23,テーブル!$E$3:$H$6,2,0)</f>
        <v>あおき堂</v>
      </c>
      <c r="E23" s="52">
        <v>443</v>
      </c>
      <c r="F23" s="52">
        <v>401</v>
      </c>
      <c r="G23" s="53">
        <f>VLOOKUP(A23,テーブル!$A$3:$C$11,3,0)*F23</f>
        <v>372930</v>
      </c>
      <c r="H23" s="53">
        <f>ROUND(G23*VLOOKUP(C23,テーブル!$E$3:$H$6,3,0),-2)</f>
        <v>44000</v>
      </c>
      <c r="I23" s="54">
        <f t="shared" si="0"/>
        <v>9.4E-2</v>
      </c>
      <c r="K23" s="21"/>
    </row>
    <row r="24" spans="1:11">
      <c r="A24" s="49">
        <v>16</v>
      </c>
      <c r="B24" s="50" t="str">
        <f>VLOOKUP(A24,テーブル!$A$3:$C$11,2,0)</f>
        <v>Ｗ商品</v>
      </c>
      <c r="C24" s="51">
        <v>103</v>
      </c>
      <c r="D24" s="51" t="str">
        <f>VLOOKUP(C24,テーブル!$E$3:$H$6,2,0)</f>
        <v>片山商事</v>
      </c>
      <c r="E24" s="52">
        <v>490</v>
      </c>
      <c r="F24" s="52">
        <v>450</v>
      </c>
      <c r="G24" s="53">
        <f>VLOOKUP(A24,テーブル!$A$3:$C$11,3,0)*F24</f>
        <v>418500</v>
      </c>
      <c r="H24" s="53">
        <f>ROUND(G24*VLOOKUP(C24,テーブル!$E$3:$H$6,3,0),-2)</f>
        <v>43900</v>
      </c>
      <c r="I24" s="54">
        <f t="shared" si="0"/>
        <v>8.1000000000000003E-2</v>
      </c>
      <c r="K24" s="21"/>
    </row>
    <row r="25" spans="1:11">
      <c r="A25" s="49">
        <v>16</v>
      </c>
      <c r="B25" s="50" t="str">
        <f>VLOOKUP(A25,テーブル!$A$3:$C$11,2,0)</f>
        <v>Ｗ商品</v>
      </c>
      <c r="C25" s="51">
        <v>104</v>
      </c>
      <c r="D25" s="51" t="str">
        <f>VLOOKUP(C25,テーブル!$E$3:$H$6,2,0)</f>
        <v>鈴木青果</v>
      </c>
      <c r="E25" s="52">
        <v>443</v>
      </c>
      <c r="F25" s="52">
        <v>400</v>
      </c>
      <c r="G25" s="53">
        <f>VLOOKUP(A25,テーブル!$A$3:$C$11,3,0)*F25</f>
        <v>372000</v>
      </c>
      <c r="H25" s="53">
        <f>ROUND(G25*VLOOKUP(C25,テーブル!$E$3:$H$6,3,0),-2)</f>
        <v>47200</v>
      </c>
      <c r="I25" s="54">
        <f t="shared" si="0"/>
        <v>9.7000000000000003E-2</v>
      </c>
      <c r="K25" s="21"/>
    </row>
    <row r="26" spans="1:11">
      <c r="A26" s="49">
        <v>17</v>
      </c>
      <c r="B26" s="50" t="str">
        <f>VLOOKUP(A26,テーブル!$A$3:$C$11,2,0)</f>
        <v>Ｘ商品</v>
      </c>
      <c r="C26" s="51">
        <v>101</v>
      </c>
      <c r="D26" s="51" t="str">
        <f>VLOOKUP(C26,テーブル!$E$3:$H$6,2,0)</f>
        <v>山川総業</v>
      </c>
      <c r="E26" s="52">
        <v>466</v>
      </c>
      <c r="F26" s="52">
        <v>422</v>
      </c>
      <c r="G26" s="53">
        <f>VLOOKUP(A26,テーブル!$A$3:$C$11,3,0)*F26</f>
        <v>409340</v>
      </c>
      <c r="H26" s="53">
        <f>ROUND(G26*VLOOKUP(C26,テーブル!$E$3:$H$6,3,0),-2)</f>
        <v>50800</v>
      </c>
      <c r="I26" s="54">
        <f t="shared" si="0"/>
        <v>9.4E-2</v>
      </c>
      <c r="K26" s="21"/>
    </row>
    <row r="27" spans="1:11">
      <c r="A27" s="49">
        <v>17</v>
      </c>
      <c r="B27" s="50" t="str">
        <f>VLOOKUP(A27,テーブル!$A$3:$C$11,2,0)</f>
        <v>Ｘ商品</v>
      </c>
      <c r="C27" s="51">
        <v>102</v>
      </c>
      <c r="D27" s="51" t="str">
        <f>VLOOKUP(C27,テーブル!$E$3:$H$6,2,0)</f>
        <v>あおき堂</v>
      </c>
      <c r="E27" s="52">
        <v>451</v>
      </c>
      <c r="F27" s="52">
        <v>412</v>
      </c>
      <c r="G27" s="53">
        <f>VLOOKUP(A27,テーブル!$A$3:$C$11,3,0)*F27</f>
        <v>399640</v>
      </c>
      <c r="H27" s="53">
        <f>ROUND(G27*VLOOKUP(C27,テーブル!$E$3:$H$6,3,0),-2)</f>
        <v>47200</v>
      </c>
      <c r="I27" s="54">
        <f t="shared" si="0"/>
        <v>8.5999999999999993E-2</v>
      </c>
      <c r="K27" s="21"/>
    </row>
    <row r="28" spans="1:11">
      <c r="A28" s="49">
        <v>17</v>
      </c>
      <c r="B28" s="50" t="str">
        <f>VLOOKUP(A28,テーブル!$A$3:$C$11,2,0)</f>
        <v>Ｘ商品</v>
      </c>
      <c r="C28" s="51">
        <v>103</v>
      </c>
      <c r="D28" s="51" t="str">
        <f>VLOOKUP(C28,テーブル!$E$3:$H$6,2,0)</f>
        <v>片山商事</v>
      </c>
      <c r="E28" s="52">
        <v>539</v>
      </c>
      <c r="F28" s="52">
        <v>492</v>
      </c>
      <c r="G28" s="53">
        <f>VLOOKUP(A28,テーブル!$A$3:$C$11,3,0)*F28</f>
        <v>477240</v>
      </c>
      <c r="H28" s="53">
        <f>ROUND(G28*VLOOKUP(C28,テーブル!$E$3:$H$6,3,0),-2)</f>
        <v>50100</v>
      </c>
      <c r="I28" s="54">
        <f t="shared" si="0"/>
        <v>8.6999999999999994E-2</v>
      </c>
      <c r="K28" s="21"/>
    </row>
    <row r="29" spans="1:11">
      <c r="A29" s="55">
        <v>17</v>
      </c>
      <c r="B29" s="50" t="str">
        <f>VLOOKUP(A29,テーブル!$A$3:$C$11,2,0)</f>
        <v>Ｘ商品</v>
      </c>
      <c r="C29" s="51">
        <v>104</v>
      </c>
      <c r="D29" s="51" t="str">
        <f>VLOOKUP(C29,テーブル!$E$3:$H$6,2,0)</f>
        <v>鈴木青果</v>
      </c>
      <c r="E29" s="52">
        <v>529</v>
      </c>
      <c r="F29" s="52">
        <v>479</v>
      </c>
      <c r="G29" s="53">
        <f>VLOOKUP(A29,テーブル!$A$3:$C$11,3,0)*F29</f>
        <v>464630</v>
      </c>
      <c r="H29" s="53">
        <f>ROUND(G29*VLOOKUP(C29,テーブル!$E$3:$H$6,3,0),-2)</f>
        <v>59000</v>
      </c>
      <c r="I29" s="54">
        <f t="shared" si="0"/>
        <v>9.4E-2</v>
      </c>
      <c r="K29" s="21"/>
    </row>
    <row r="30" spans="1:11">
      <c r="A30" s="55">
        <v>18</v>
      </c>
      <c r="B30" s="50" t="str">
        <f>VLOOKUP(A30,テーブル!$A$3:$C$11,2,0)</f>
        <v>Ｙ商品</v>
      </c>
      <c r="C30" s="51">
        <v>101</v>
      </c>
      <c r="D30" s="51" t="str">
        <f>VLOOKUP(C30,テーブル!$E$3:$H$6,2,0)</f>
        <v>山川総業</v>
      </c>
      <c r="E30" s="52">
        <v>528</v>
      </c>
      <c r="F30" s="52">
        <v>479</v>
      </c>
      <c r="G30" s="53">
        <f>VLOOKUP(A30,テーブル!$A$3:$C$11,3,0)*F30</f>
        <v>479000</v>
      </c>
      <c r="H30" s="53">
        <f>ROUND(G30*VLOOKUP(C30,テーブル!$E$3:$H$6,3,0),-2)</f>
        <v>59400</v>
      </c>
      <c r="I30" s="54">
        <f t="shared" si="0"/>
        <v>9.1999999999999998E-2</v>
      </c>
      <c r="K30" s="21"/>
    </row>
    <row r="31" spans="1:11">
      <c r="A31" s="55">
        <v>18</v>
      </c>
      <c r="B31" s="50" t="str">
        <f>VLOOKUP(A31,テーブル!$A$3:$C$11,2,0)</f>
        <v>Ｙ商品</v>
      </c>
      <c r="C31" s="51">
        <v>102</v>
      </c>
      <c r="D31" s="51" t="str">
        <f>VLOOKUP(C31,テーブル!$E$3:$H$6,2,0)</f>
        <v>あおき堂</v>
      </c>
      <c r="E31" s="52">
        <v>580</v>
      </c>
      <c r="F31" s="52">
        <v>536</v>
      </c>
      <c r="G31" s="53">
        <f>VLOOKUP(A31,テーブル!$A$3:$C$11,3,0)*F31</f>
        <v>536000</v>
      </c>
      <c r="H31" s="53">
        <f>ROUND(G31*VLOOKUP(C31,テーブル!$E$3:$H$6,3,0),-2)</f>
        <v>63200</v>
      </c>
      <c r="I31" s="54">
        <f t="shared" si="0"/>
        <v>7.4999999999999997E-2</v>
      </c>
      <c r="K31" s="21"/>
    </row>
    <row r="32" spans="1:11">
      <c r="A32" s="55">
        <v>18</v>
      </c>
      <c r="B32" s="50" t="str">
        <f>VLOOKUP(A32,テーブル!$A$3:$C$11,2,0)</f>
        <v>Ｙ商品</v>
      </c>
      <c r="C32" s="51">
        <v>103</v>
      </c>
      <c r="D32" s="51" t="str">
        <f>VLOOKUP(C32,テーブル!$E$3:$H$6,2,0)</f>
        <v>片山商事</v>
      </c>
      <c r="E32" s="52">
        <v>453</v>
      </c>
      <c r="F32" s="52">
        <v>408</v>
      </c>
      <c r="G32" s="53">
        <f>VLOOKUP(A32,テーブル!$A$3:$C$11,3,0)*F32</f>
        <v>408000</v>
      </c>
      <c r="H32" s="53">
        <f>ROUND(G32*VLOOKUP(C32,テーブル!$E$3:$H$6,3,0),-2)</f>
        <v>42800</v>
      </c>
      <c r="I32" s="54">
        <f t="shared" si="0"/>
        <v>9.9000000000000005E-2</v>
      </c>
      <c r="K32" s="21"/>
    </row>
    <row r="33" spans="1:11">
      <c r="A33" s="55">
        <v>18</v>
      </c>
      <c r="B33" s="50" t="str">
        <f>VLOOKUP(A33,テーブル!$A$3:$C$11,2,0)</f>
        <v>Ｙ商品</v>
      </c>
      <c r="C33" s="51">
        <v>104</v>
      </c>
      <c r="D33" s="51" t="str">
        <f>VLOOKUP(C33,テーブル!$E$3:$H$6,2,0)</f>
        <v>鈴木青果</v>
      </c>
      <c r="E33" s="52">
        <v>460</v>
      </c>
      <c r="F33" s="52">
        <v>416</v>
      </c>
      <c r="G33" s="53">
        <f>VLOOKUP(A33,テーブル!$A$3:$C$11,3,0)*F33</f>
        <v>416000</v>
      </c>
      <c r="H33" s="53">
        <f>ROUND(G33*VLOOKUP(C33,テーブル!$E$3:$H$6,3,0),-2)</f>
        <v>52800</v>
      </c>
      <c r="I33" s="54">
        <f t="shared" si="0"/>
        <v>9.5000000000000001E-2</v>
      </c>
      <c r="K33" s="21"/>
    </row>
    <row r="34" spans="1:11">
      <c r="A34" s="55">
        <v>19</v>
      </c>
      <c r="B34" s="50" t="str">
        <f>VLOOKUP(A34,テーブル!$A$3:$C$11,2,0)</f>
        <v>Ｚ商品</v>
      </c>
      <c r="C34" s="51">
        <v>101</v>
      </c>
      <c r="D34" s="51" t="str">
        <f>VLOOKUP(C34,テーブル!$E$3:$H$6,2,0)</f>
        <v>山川総業</v>
      </c>
      <c r="E34" s="52">
        <v>524</v>
      </c>
      <c r="F34" s="52">
        <v>475</v>
      </c>
      <c r="G34" s="53">
        <f>VLOOKUP(A34,テーブル!$A$3:$C$11,3,0)*F34</f>
        <v>479750</v>
      </c>
      <c r="H34" s="53">
        <f>ROUND(G34*VLOOKUP(C34,テーブル!$E$3:$H$6,3,0),-2)</f>
        <v>59500</v>
      </c>
      <c r="I34" s="54">
        <f t="shared" si="0"/>
        <v>9.2999999999999999E-2</v>
      </c>
      <c r="K34" s="21"/>
    </row>
    <row r="35" spans="1:11">
      <c r="A35" s="55">
        <v>19</v>
      </c>
      <c r="B35" s="50" t="str">
        <f>VLOOKUP(A35,テーブル!$A$3:$C$11,2,0)</f>
        <v>Ｚ商品</v>
      </c>
      <c r="C35" s="51">
        <v>102</v>
      </c>
      <c r="D35" s="51" t="str">
        <f>VLOOKUP(C35,テーブル!$E$3:$H$6,2,0)</f>
        <v>あおき堂</v>
      </c>
      <c r="E35" s="52">
        <v>441</v>
      </c>
      <c r="F35" s="52">
        <v>403</v>
      </c>
      <c r="G35" s="53">
        <f>VLOOKUP(A35,テーブル!$A$3:$C$11,3,0)*F35</f>
        <v>407030</v>
      </c>
      <c r="H35" s="53">
        <f>ROUND(G35*VLOOKUP(C35,テーブル!$E$3:$H$6,3,0),-2)</f>
        <v>48000</v>
      </c>
      <c r="I35" s="54">
        <f t="shared" si="0"/>
        <v>8.5999999999999993E-2</v>
      </c>
      <c r="K35" s="21"/>
    </row>
    <row r="36" spans="1:11">
      <c r="A36" s="55">
        <v>19</v>
      </c>
      <c r="B36" s="50" t="str">
        <f>VLOOKUP(A36,テーブル!$A$3:$C$11,2,0)</f>
        <v>Ｚ商品</v>
      </c>
      <c r="C36" s="51">
        <v>103</v>
      </c>
      <c r="D36" s="51" t="str">
        <f>VLOOKUP(C36,テーブル!$E$3:$H$6,2,0)</f>
        <v>片山商事</v>
      </c>
      <c r="E36" s="52">
        <v>457</v>
      </c>
      <c r="F36" s="52">
        <v>413</v>
      </c>
      <c r="G36" s="53">
        <f>VLOOKUP(A36,テーブル!$A$3:$C$11,3,0)*F36</f>
        <v>417130</v>
      </c>
      <c r="H36" s="53">
        <f>ROUND(G36*VLOOKUP(C36,テーブル!$E$3:$H$6,3,0),-2)</f>
        <v>43800</v>
      </c>
      <c r="I36" s="54">
        <f t="shared" si="0"/>
        <v>9.6000000000000002E-2</v>
      </c>
      <c r="K36" s="21"/>
    </row>
    <row r="37" spans="1:11">
      <c r="A37" s="55">
        <v>19</v>
      </c>
      <c r="B37" s="50" t="str">
        <f>VLOOKUP(A37,テーブル!$A$3:$C$11,2,0)</f>
        <v>Ｚ商品</v>
      </c>
      <c r="C37" s="51">
        <v>104</v>
      </c>
      <c r="D37" s="51" t="str">
        <f>VLOOKUP(C37,テーブル!$E$3:$H$6,2,0)</f>
        <v>鈴木青果</v>
      </c>
      <c r="E37" s="52">
        <v>570</v>
      </c>
      <c r="F37" s="52">
        <v>521</v>
      </c>
      <c r="G37" s="53">
        <f>VLOOKUP(A37,テーブル!$A$3:$C$11,3,0)*F37</f>
        <v>526210</v>
      </c>
      <c r="H37" s="53">
        <f>ROUND(G37*VLOOKUP(C37,テーブル!$E$3:$H$6,3,0),-2)</f>
        <v>66800</v>
      </c>
      <c r="I37" s="54">
        <f t="shared" si="0"/>
        <v>8.5000000000000006E-2</v>
      </c>
      <c r="K37" s="21"/>
    </row>
    <row r="38" spans="1:11">
      <c r="A38" s="55"/>
      <c r="B38" s="56"/>
      <c r="C38" s="57"/>
      <c r="D38" s="57"/>
      <c r="E38" s="57"/>
      <c r="F38" s="57"/>
      <c r="G38" s="57"/>
      <c r="H38" s="57"/>
      <c r="I38" s="58"/>
    </row>
    <row r="39" spans="1:11" ht="14.25" thickBot="1">
      <c r="A39" s="59"/>
      <c r="B39" s="60" t="s">
        <v>15</v>
      </c>
      <c r="C39" s="61"/>
      <c r="D39" s="62"/>
      <c r="E39" s="63">
        <f>SUM(E2:E37)</f>
        <v>17905</v>
      </c>
      <c r="F39" s="63">
        <f t="shared" ref="F39:H39" si="1">SUM(F2:F37)</f>
        <v>16347</v>
      </c>
      <c r="G39" s="63">
        <f t="shared" si="1"/>
        <v>13586520</v>
      </c>
      <c r="H39" s="63">
        <f t="shared" si="1"/>
        <v>1613700</v>
      </c>
      <c r="I39" s="64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9"/>
  <sheetViews>
    <sheetView zoomScaleNormal="100" workbookViewId="0"/>
  </sheetViews>
  <sheetFormatPr defaultRowHeight="13.5"/>
  <cols>
    <col min="1" max="3" width="7.5" style="1" bestFit="1" customWidth="1"/>
    <col min="4" max="4" width="9.5" style="1" bestFit="1" customWidth="1"/>
    <col min="5" max="6" width="7.5" style="1" customWidth="1"/>
    <col min="7" max="7" width="11.625" style="1" bestFit="1" customWidth="1"/>
    <col min="8" max="8" width="10.5" style="1" bestFit="1" customWidth="1"/>
    <col min="9" max="9" width="7.5" style="1" bestFit="1" customWidth="1"/>
    <col min="10" max="16384" width="9" style="1"/>
  </cols>
  <sheetData>
    <row r="1" spans="1:11">
      <c r="A1" s="46" t="s">
        <v>17</v>
      </c>
      <c r="B1" s="47" t="s">
        <v>11</v>
      </c>
      <c r="C1" s="47" t="s">
        <v>18</v>
      </c>
      <c r="D1" s="47" t="s">
        <v>2</v>
      </c>
      <c r="E1" s="47" t="s">
        <v>3</v>
      </c>
      <c r="F1" s="47" t="s">
        <v>4</v>
      </c>
      <c r="G1" s="47" t="s">
        <v>6</v>
      </c>
      <c r="H1" s="47" t="s">
        <v>7</v>
      </c>
      <c r="I1" s="48" t="s">
        <v>21</v>
      </c>
    </row>
    <row r="2" spans="1:11">
      <c r="A2" s="49">
        <v>11</v>
      </c>
      <c r="B2" s="50" t="str">
        <f>VLOOKUP(A2,テーブル!$A$3:$C$11,2,0)</f>
        <v>Ｒ商品</v>
      </c>
      <c r="C2" s="51">
        <v>101</v>
      </c>
      <c r="D2" s="51" t="str">
        <f>VLOOKUP(C2,テーブル!$E$3:$H$6,2,0)</f>
        <v>山川総業</v>
      </c>
      <c r="E2" s="52">
        <v>550</v>
      </c>
      <c r="F2" s="52">
        <v>504</v>
      </c>
      <c r="G2" s="53">
        <f>VLOOKUP(A2,テーブル!$A$3:$C$11,3,0)*F2</f>
        <v>272160</v>
      </c>
      <c r="H2" s="53">
        <f>ROUND(G2*VLOOKUP(C2,テーブル!$E$3:$H$6,3,0),-2)</f>
        <v>33700</v>
      </c>
      <c r="I2" s="54">
        <f>ROUNDDOWN(1-F2/E2,3)</f>
        <v>8.3000000000000004E-2</v>
      </c>
      <c r="K2" s="21"/>
    </row>
    <row r="3" spans="1:11">
      <c r="A3" s="49">
        <v>11</v>
      </c>
      <c r="B3" s="50" t="str">
        <f>VLOOKUP(A3,テーブル!$A$3:$C$11,2,0)</f>
        <v>Ｒ商品</v>
      </c>
      <c r="C3" s="51">
        <v>102</v>
      </c>
      <c r="D3" s="51" t="str">
        <f>VLOOKUP(C3,テーブル!$E$3:$H$6,2,0)</f>
        <v>あおき堂</v>
      </c>
      <c r="E3" s="52">
        <v>435</v>
      </c>
      <c r="F3" s="52">
        <v>395</v>
      </c>
      <c r="G3" s="53">
        <f>VLOOKUP(A3,テーブル!$A$3:$C$11,3,0)*F3</f>
        <v>213300</v>
      </c>
      <c r="H3" s="53">
        <f>ROUND(G3*VLOOKUP(C3,テーブル!$E$3:$H$6,3,0),-2)</f>
        <v>25200</v>
      </c>
      <c r="I3" s="54">
        <f t="shared" ref="I3:I37" si="0">ROUNDDOWN(1-F3/E3,3)</f>
        <v>9.0999999999999998E-2</v>
      </c>
      <c r="K3" s="21"/>
    </row>
    <row r="4" spans="1:11">
      <c r="A4" s="49">
        <v>11</v>
      </c>
      <c r="B4" s="50" t="str">
        <f>VLOOKUP(A4,テーブル!$A$3:$C$11,2,0)</f>
        <v>Ｒ商品</v>
      </c>
      <c r="C4" s="51">
        <v>103</v>
      </c>
      <c r="D4" s="51" t="str">
        <f>VLOOKUP(C4,テーブル!$E$3:$H$6,2,0)</f>
        <v>片山商事</v>
      </c>
      <c r="E4" s="52">
        <v>446</v>
      </c>
      <c r="F4" s="52">
        <v>402</v>
      </c>
      <c r="G4" s="53">
        <f>VLOOKUP(A4,テーブル!$A$3:$C$11,3,0)*F4</f>
        <v>217080</v>
      </c>
      <c r="H4" s="53">
        <f>ROUND(G4*VLOOKUP(C4,テーブル!$E$3:$H$6,3,0),-2)</f>
        <v>22800</v>
      </c>
      <c r="I4" s="54">
        <f t="shared" si="0"/>
        <v>9.8000000000000004E-2</v>
      </c>
      <c r="K4" s="21"/>
    </row>
    <row r="5" spans="1:11">
      <c r="A5" s="49">
        <v>11</v>
      </c>
      <c r="B5" s="50" t="str">
        <f>VLOOKUP(A5,テーブル!$A$3:$C$11,2,0)</f>
        <v>Ｒ商品</v>
      </c>
      <c r="C5" s="51">
        <v>104</v>
      </c>
      <c r="D5" s="51" t="str">
        <f>VLOOKUP(C5,テーブル!$E$3:$H$6,2,0)</f>
        <v>鈴木青果</v>
      </c>
      <c r="E5" s="52">
        <v>504</v>
      </c>
      <c r="F5" s="52">
        <v>454</v>
      </c>
      <c r="G5" s="53">
        <f>VLOOKUP(A5,テーブル!$A$3:$C$11,3,0)*F5</f>
        <v>245160</v>
      </c>
      <c r="H5" s="53">
        <f>ROUND(G5*VLOOKUP(C5,テーブル!$E$3:$H$6,3,0),-2)</f>
        <v>31100</v>
      </c>
      <c r="I5" s="54">
        <f t="shared" si="0"/>
        <v>9.9000000000000005E-2</v>
      </c>
      <c r="K5" s="21"/>
    </row>
    <row r="6" spans="1:11">
      <c r="A6" s="49">
        <v>12</v>
      </c>
      <c r="B6" s="50" t="str">
        <f>VLOOKUP(A6,テーブル!$A$3:$C$11,2,0)</f>
        <v>Ｓ商品</v>
      </c>
      <c r="C6" s="51">
        <v>101</v>
      </c>
      <c r="D6" s="51" t="str">
        <f>VLOOKUP(C6,テーブル!$E$3:$H$6,2,0)</f>
        <v>山川総業</v>
      </c>
      <c r="E6" s="52">
        <v>516</v>
      </c>
      <c r="F6" s="52">
        <v>475</v>
      </c>
      <c r="G6" s="53">
        <f>VLOOKUP(A6,テーブル!$A$3:$C$11,3,0)*F6</f>
        <v>289750</v>
      </c>
      <c r="H6" s="53">
        <f>ROUND(G6*VLOOKUP(C6,テーブル!$E$3:$H$6,3,0),-2)</f>
        <v>35900</v>
      </c>
      <c r="I6" s="54">
        <f t="shared" si="0"/>
        <v>7.9000000000000001E-2</v>
      </c>
      <c r="K6" s="21"/>
    </row>
    <row r="7" spans="1:11">
      <c r="A7" s="49">
        <v>12</v>
      </c>
      <c r="B7" s="50" t="str">
        <f>VLOOKUP(A7,テーブル!$A$3:$C$11,2,0)</f>
        <v>Ｓ商品</v>
      </c>
      <c r="C7" s="51">
        <v>102</v>
      </c>
      <c r="D7" s="51" t="str">
        <f>VLOOKUP(C7,テーブル!$E$3:$H$6,2,0)</f>
        <v>あおき堂</v>
      </c>
      <c r="E7" s="52">
        <v>499</v>
      </c>
      <c r="F7" s="52">
        <v>457</v>
      </c>
      <c r="G7" s="53">
        <f>VLOOKUP(A7,テーブル!$A$3:$C$11,3,0)*F7</f>
        <v>278770</v>
      </c>
      <c r="H7" s="53">
        <f>ROUND(G7*VLOOKUP(C7,テーブル!$E$3:$H$6,3,0),-2)</f>
        <v>32900</v>
      </c>
      <c r="I7" s="54">
        <f t="shared" si="0"/>
        <v>8.4000000000000005E-2</v>
      </c>
      <c r="K7" s="21"/>
    </row>
    <row r="8" spans="1:11">
      <c r="A8" s="49">
        <v>12</v>
      </c>
      <c r="B8" s="50" t="str">
        <f>VLOOKUP(A8,テーブル!$A$3:$C$11,2,0)</f>
        <v>Ｓ商品</v>
      </c>
      <c r="C8" s="51">
        <v>103</v>
      </c>
      <c r="D8" s="51" t="str">
        <f>VLOOKUP(C8,テーブル!$E$3:$H$6,2,0)</f>
        <v>片山商事</v>
      </c>
      <c r="E8" s="52">
        <v>503</v>
      </c>
      <c r="F8" s="52">
        <v>455</v>
      </c>
      <c r="G8" s="53">
        <f>VLOOKUP(A8,テーブル!$A$3:$C$11,3,0)*F8</f>
        <v>277550</v>
      </c>
      <c r="H8" s="53">
        <f>ROUND(G8*VLOOKUP(C8,テーブル!$E$3:$H$6,3,0),-2)</f>
        <v>29100</v>
      </c>
      <c r="I8" s="54">
        <f t="shared" si="0"/>
        <v>9.5000000000000001E-2</v>
      </c>
      <c r="K8" s="21"/>
    </row>
    <row r="9" spans="1:11">
      <c r="A9" s="49">
        <v>12</v>
      </c>
      <c r="B9" s="50" t="str">
        <f>VLOOKUP(A9,テーブル!$A$3:$C$11,2,0)</f>
        <v>Ｓ商品</v>
      </c>
      <c r="C9" s="51">
        <v>104</v>
      </c>
      <c r="D9" s="51" t="str">
        <f>VLOOKUP(C9,テーブル!$E$3:$H$6,2,0)</f>
        <v>鈴木青果</v>
      </c>
      <c r="E9" s="52">
        <v>546</v>
      </c>
      <c r="F9" s="52">
        <v>499</v>
      </c>
      <c r="G9" s="53">
        <f>VLOOKUP(A9,テーブル!$A$3:$C$11,3,0)*F9</f>
        <v>304390</v>
      </c>
      <c r="H9" s="53">
        <f>ROUND(G9*VLOOKUP(C9,テーブル!$E$3:$H$6,3,0),-2)</f>
        <v>38700</v>
      </c>
      <c r="I9" s="54">
        <f t="shared" si="0"/>
        <v>8.5999999999999993E-2</v>
      </c>
      <c r="K9" s="21"/>
    </row>
    <row r="10" spans="1:11">
      <c r="A10" s="49">
        <v>13</v>
      </c>
      <c r="B10" s="50" t="str">
        <f>VLOOKUP(A10,テーブル!$A$3:$C$11,2,0)</f>
        <v>Ｔ商品</v>
      </c>
      <c r="C10" s="51">
        <v>101</v>
      </c>
      <c r="D10" s="51" t="str">
        <f>VLOOKUP(C10,テーブル!$E$3:$H$6,2,0)</f>
        <v>山川総業</v>
      </c>
      <c r="E10" s="52">
        <v>574</v>
      </c>
      <c r="F10" s="52">
        <v>532</v>
      </c>
      <c r="G10" s="53">
        <f>VLOOKUP(A10,テーブル!$A$3:$C$11,3,0)*F10</f>
        <v>383040</v>
      </c>
      <c r="H10" s="53">
        <f>ROUND(G10*VLOOKUP(C10,テーブル!$E$3:$H$6,3,0),-2)</f>
        <v>47500</v>
      </c>
      <c r="I10" s="54">
        <f t="shared" si="0"/>
        <v>7.2999999999999995E-2</v>
      </c>
      <c r="K10" s="21"/>
    </row>
    <row r="11" spans="1:11">
      <c r="A11" s="49">
        <v>13</v>
      </c>
      <c r="B11" s="50" t="str">
        <f>VLOOKUP(A11,テーブル!$A$3:$C$11,2,0)</f>
        <v>Ｔ商品</v>
      </c>
      <c r="C11" s="51">
        <v>102</v>
      </c>
      <c r="D11" s="51" t="str">
        <f>VLOOKUP(C11,テーブル!$E$3:$H$6,2,0)</f>
        <v>あおき堂</v>
      </c>
      <c r="E11" s="52">
        <v>578</v>
      </c>
      <c r="F11" s="52">
        <v>536</v>
      </c>
      <c r="G11" s="53">
        <f>VLOOKUP(A11,テーブル!$A$3:$C$11,3,0)*F11</f>
        <v>385920</v>
      </c>
      <c r="H11" s="53">
        <f>ROUND(G11*VLOOKUP(C11,テーブル!$E$3:$H$6,3,0),-2)</f>
        <v>45500</v>
      </c>
      <c r="I11" s="54">
        <f t="shared" si="0"/>
        <v>7.1999999999999995E-2</v>
      </c>
      <c r="K11" s="21"/>
    </row>
    <row r="12" spans="1:11">
      <c r="A12" s="49">
        <v>13</v>
      </c>
      <c r="B12" s="50" t="str">
        <f>VLOOKUP(A12,テーブル!$A$3:$C$11,2,0)</f>
        <v>Ｔ商品</v>
      </c>
      <c r="C12" s="51">
        <v>103</v>
      </c>
      <c r="D12" s="51" t="str">
        <f>VLOOKUP(C12,テーブル!$E$3:$H$6,2,0)</f>
        <v>片山商事</v>
      </c>
      <c r="E12" s="52">
        <v>577</v>
      </c>
      <c r="F12" s="52">
        <v>531</v>
      </c>
      <c r="G12" s="53">
        <f>VLOOKUP(A12,テーブル!$A$3:$C$11,3,0)*F12</f>
        <v>382320</v>
      </c>
      <c r="H12" s="53">
        <f>ROUND(G12*VLOOKUP(C12,テーブル!$E$3:$H$6,3,0),-2)</f>
        <v>40100</v>
      </c>
      <c r="I12" s="54">
        <f t="shared" si="0"/>
        <v>7.9000000000000001E-2</v>
      </c>
      <c r="K12" s="21"/>
    </row>
    <row r="13" spans="1:11">
      <c r="A13" s="49">
        <v>13</v>
      </c>
      <c r="B13" s="50" t="str">
        <f>VLOOKUP(A13,テーブル!$A$3:$C$11,2,0)</f>
        <v>Ｔ商品</v>
      </c>
      <c r="C13" s="51">
        <v>104</v>
      </c>
      <c r="D13" s="51" t="str">
        <f>VLOOKUP(C13,テーブル!$E$3:$H$6,2,0)</f>
        <v>鈴木青果</v>
      </c>
      <c r="E13" s="52">
        <v>439</v>
      </c>
      <c r="F13" s="52">
        <v>397</v>
      </c>
      <c r="G13" s="53">
        <f>VLOOKUP(A13,テーブル!$A$3:$C$11,3,0)*F13</f>
        <v>285840</v>
      </c>
      <c r="H13" s="53">
        <f>ROUND(G13*VLOOKUP(C13,テーブル!$E$3:$H$6,3,0),-2)</f>
        <v>36300</v>
      </c>
      <c r="I13" s="54">
        <f t="shared" si="0"/>
        <v>9.5000000000000001E-2</v>
      </c>
      <c r="K13" s="21"/>
    </row>
    <row r="14" spans="1:11">
      <c r="A14" s="49">
        <v>14</v>
      </c>
      <c r="B14" s="50" t="str">
        <f>VLOOKUP(A14,テーブル!$A$3:$C$11,2,0)</f>
        <v>Ｕ商品</v>
      </c>
      <c r="C14" s="51">
        <v>101</v>
      </c>
      <c r="D14" s="51" t="str">
        <f>VLOOKUP(C14,テーブル!$E$3:$H$6,2,0)</f>
        <v>山川総業</v>
      </c>
      <c r="E14" s="52">
        <v>575</v>
      </c>
      <c r="F14" s="52">
        <v>531</v>
      </c>
      <c r="G14" s="53">
        <f>VLOOKUP(A14,テーブル!$A$3:$C$11,3,0)*F14</f>
        <v>435420</v>
      </c>
      <c r="H14" s="53">
        <f>ROUND(G14*VLOOKUP(C14,テーブル!$E$3:$H$6,3,0),-2)</f>
        <v>54000</v>
      </c>
      <c r="I14" s="54">
        <f t="shared" si="0"/>
        <v>7.5999999999999998E-2</v>
      </c>
      <c r="K14" s="21"/>
    </row>
    <row r="15" spans="1:11">
      <c r="A15" s="49">
        <v>14</v>
      </c>
      <c r="B15" s="50" t="str">
        <f>VLOOKUP(A15,テーブル!$A$3:$C$11,2,0)</f>
        <v>Ｕ商品</v>
      </c>
      <c r="C15" s="51">
        <v>102</v>
      </c>
      <c r="D15" s="51" t="str">
        <f>VLOOKUP(C15,テーブル!$E$3:$H$6,2,0)</f>
        <v>あおき堂</v>
      </c>
      <c r="E15" s="52">
        <v>482</v>
      </c>
      <c r="F15" s="52">
        <v>440</v>
      </c>
      <c r="G15" s="53">
        <f>VLOOKUP(A15,テーブル!$A$3:$C$11,3,0)*F15</f>
        <v>360800</v>
      </c>
      <c r="H15" s="53">
        <f>ROUND(G15*VLOOKUP(C15,テーブル!$E$3:$H$6,3,0),-2)</f>
        <v>42600</v>
      </c>
      <c r="I15" s="54">
        <f t="shared" si="0"/>
        <v>8.6999999999999994E-2</v>
      </c>
      <c r="K15" s="21"/>
    </row>
    <row r="16" spans="1:11">
      <c r="A16" s="49">
        <v>14</v>
      </c>
      <c r="B16" s="50" t="str">
        <f>VLOOKUP(A16,テーブル!$A$3:$C$11,2,0)</f>
        <v>Ｕ商品</v>
      </c>
      <c r="C16" s="51">
        <v>103</v>
      </c>
      <c r="D16" s="51" t="str">
        <f>VLOOKUP(C16,テーブル!$E$3:$H$6,2,0)</f>
        <v>片山商事</v>
      </c>
      <c r="E16" s="52">
        <v>564</v>
      </c>
      <c r="F16" s="52">
        <v>516</v>
      </c>
      <c r="G16" s="53">
        <f>VLOOKUP(A16,テーブル!$A$3:$C$11,3,0)*F16</f>
        <v>423120</v>
      </c>
      <c r="H16" s="53">
        <f>ROUND(G16*VLOOKUP(C16,テーブル!$E$3:$H$6,3,0),-2)</f>
        <v>44400</v>
      </c>
      <c r="I16" s="54">
        <f t="shared" si="0"/>
        <v>8.5000000000000006E-2</v>
      </c>
      <c r="K16" s="21"/>
    </row>
    <row r="17" spans="1:11">
      <c r="A17" s="49">
        <v>14</v>
      </c>
      <c r="B17" s="50" t="str">
        <f>VLOOKUP(A17,テーブル!$A$3:$C$11,2,0)</f>
        <v>Ｕ商品</v>
      </c>
      <c r="C17" s="51">
        <v>104</v>
      </c>
      <c r="D17" s="51" t="str">
        <f>VLOOKUP(C17,テーブル!$E$3:$H$6,2,0)</f>
        <v>鈴木青果</v>
      </c>
      <c r="E17" s="52">
        <v>507</v>
      </c>
      <c r="F17" s="52">
        <v>460</v>
      </c>
      <c r="G17" s="53">
        <f>VLOOKUP(A17,テーブル!$A$3:$C$11,3,0)*F17</f>
        <v>377200</v>
      </c>
      <c r="H17" s="53">
        <f>ROUND(G17*VLOOKUP(C17,テーブル!$E$3:$H$6,3,0),-2)</f>
        <v>47900</v>
      </c>
      <c r="I17" s="54">
        <f t="shared" si="0"/>
        <v>9.1999999999999998E-2</v>
      </c>
      <c r="K17" s="21"/>
    </row>
    <row r="18" spans="1:11">
      <c r="A18" s="49">
        <v>15</v>
      </c>
      <c r="B18" s="50" t="str">
        <f>VLOOKUP(A18,テーブル!$A$3:$C$11,2,0)</f>
        <v>Ｖ商品</v>
      </c>
      <c r="C18" s="51">
        <v>101</v>
      </c>
      <c r="D18" s="51" t="str">
        <f>VLOOKUP(C18,テーブル!$E$3:$H$6,2,0)</f>
        <v>山川総業</v>
      </c>
      <c r="E18" s="52">
        <v>467</v>
      </c>
      <c r="F18" s="52">
        <v>423</v>
      </c>
      <c r="G18" s="53">
        <f>VLOOKUP(A18,テーブル!$A$3:$C$11,3,0)*F18</f>
        <v>372240</v>
      </c>
      <c r="H18" s="53">
        <f>ROUND(G18*VLOOKUP(C18,テーブル!$E$3:$H$6,3,0),-2)</f>
        <v>46200</v>
      </c>
      <c r="I18" s="54">
        <f t="shared" si="0"/>
        <v>9.4E-2</v>
      </c>
      <c r="K18" s="21"/>
    </row>
    <row r="19" spans="1:11">
      <c r="A19" s="49">
        <v>15</v>
      </c>
      <c r="B19" s="50" t="str">
        <f>VLOOKUP(A19,テーブル!$A$3:$C$11,2,0)</f>
        <v>Ｖ商品</v>
      </c>
      <c r="C19" s="51">
        <v>102</v>
      </c>
      <c r="D19" s="51" t="str">
        <f>VLOOKUP(C19,テーブル!$E$3:$H$6,2,0)</f>
        <v>あおき堂</v>
      </c>
      <c r="E19" s="52">
        <v>558</v>
      </c>
      <c r="F19" s="52">
        <v>518</v>
      </c>
      <c r="G19" s="53">
        <f>VLOOKUP(A19,テーブル!$A$3:$C$11,3,0)*F19</f>
        <v>455840</v>
      </c>
      <c r="H19" s="53">
        <f>ROUND(G19*VLOOKUP(C19,テーブル!$E$3:$H$6,3,0),-2)</f>
        <v>53800</v>
      </c>
      <c r="I19" s="54">
        <f t="shared" si="0"/>
        <v>7.0999999999999994E-2</v>
      </c>
      <c r="K19" s="21"/>
    </row>
    <row r="20" spans="1:11">
      <c r="A20" s="49">
        <v>15</v>
      </c>
      <c r="B20" s="50" t="str">
        <f>VLOOKUP(A20,テーブル!$A$3:$C$11,2,0)</f>
        <v>Ｖ商品</v>
      </c>
      <c r="C20" s="51">
        <v>103</v>
      </c>
      <c r="D20" s="51" t="str">
        <f>VLOOKUP(C20,テーブル!$E$3:$H$6,2,0)</f>
        <v>片山商事</v>
      </c>
      <c r="E20" s="52">
        <v>500</v>
      </c>
      <c r="F20" s="52">
        <v>457</v>
      </c>
      <c r="G20" s="53">
        <f>VLOOKUP(A20,テーブル!$A$3:$C$11,3,0)*F20</f>
        <v>402160</v>
      </c>
      <c r="H20" s="53">
        <f>ROUND(G20*VLOOKUP(C20,テーブル!$E$3:$H$6,3,0),-2)</f>
        <v>42200</v>
      </c>
      <c r="I20" s="54">
        <f t="shared" si="0"/>
        <v>8.5999999999999993E-2</v>
      </c>
      <c r="K20" s="21"/>
    </row>
    <row r="21" spans="1:11">
      <c r="A21" s="49">
        <v>15</v>
      </c>
      <c r="B21" s="50" t="str">
        <f>VLOOKUP(A21,テーブル!$A$3:$C$11,2,0)</f>
        <v>Ｖ商品</v>
      </c>
      <c r="C21" s="51">
        <v>104</v>
      </c>
      <c r="D21" s="51" t="str">
        <f>VLOOKUP(C21,テーブル!$E$3:$H$6,2,0)</f>
        <v>鈴木青果</v>
      </c>
      <c r="E21" s="52">
        <v>435</v>
      </c>
      <c r="F21" s="52">
        <v>394</v>
      </c>
      <c r="G21" s="53">
        <f>VLOOKUP(A21,テーブル!$A$3:$C$11,3,0)*F21</f>
        <v>346720</v>
      </c>
      <c r="H21" s="53">
        <f>ROUND(G21*VLOOKUP(C21,テーブル!$E$3:$H$6,3,0),-2)</f>
        <v>44000</v>
      </c>
      <c r="I21" s="54">
        <f t="shared" si="0"/>
        <v>9.4E-2</v>
      </c>
      <c r="K21" s="21"/>
    </row>
    <row r="22" spans="1:11">
      <c r="A22" s="49">
        <v>16</v>
      </c>
      <c r="B22" s="50" t="str">
        <f>VLOOKUP(A22,テーブル!$A$3:$C$11,2,0)</f>
        <v>Ｗ商品</v>
      </c>
      <c r="C22" s="51">
        <v>101</v>
      </c>
      <c r="D22" s="51" t="str">
        <f>VLOOKUP(C22,テーブル!$E$3:$H$6,2,0)</f>
        <v>山川総業</v>
      </c>
      <c r="E22" s="52">
        <v>560</v>
      </c>
      <c r="F22" s="52">
        <v>519</v>
      </c>
      <c r="G22" s="53">
        <f>VLOOKUP(A22,テーブル!$A$3:$C$11,3,0)*F22</f>
        <v>482670</v>
      </c>
      <c r="H22" s="53">
        <f>ROUND(G22*VLOOKUP(C22,テーブル!$E$3:$H$6,3,0),-2)</f>
        <v>59900</v>
      </c>
      <c r="I22" s="54">
        <f t="shared" si="0"/>
        <v>7.2999999999999995E-2</v>
      </c>
      <c r="K22" s="21"/>
    </row>
    <row r="23" spans="1:11">
      <c r="A23" s="49">
        <v>16</v>
      </c>
      <c r="B23" s="50" t="str">
        <f>VLOOKUP(A23,テーブル!$A$3:$C$11,2,0)</f>
        <v>Ｗ商品</v>
      </c>
      <c r="C23" s="51">
        <v>102</v>
      </c>
      <c r="D23" s="51" t="str">
        <f>VLOOKUP(C23,テーブル!$E$3:$H$6,2,0)</f>
        <v>あおき堂</v>
      </c>
      <c r="E23" s="52">
        <v>477</v>
      </c>
      <c r="F23" s="52">
        <v>431</v>
      </c>
      <c r="G23" s="53">
        <f>VLOOKUP(A23,テーブル!$A$3:$C$11,3,0)*F23</f>
        <v>400830</v>
      </c>
      <c r="H23" s="53">
        <f>ROUND(G23*VLOOKUP(C23,テーブル!$E$3:$H$6,3,0),-2)</f>
        <v>47300</v>
      </c>
      <c r="I23" s="54">
        <f t="shared" si="0"/>
        <v>9.6000000000000002E-2</v>
      </c>
      <c r="K23" s="21"/>
    </row>
    <row r="24" spans="1:11">
      <c r="A24" s="49">
        <v>16</v>
      </c>
      <c r="B24" s="50" t="str">
        <f>VLOOKUP(A24,テーブル!$A$3:$C$11,2,0)</f>
        <v>Ｗ商品</v>
      </c>
      <c r="C24" s="51">
        <v>103</v>
      </c>
      <c r="D24" s="51" t="str">
        <f>VLOOKUP(C24,テーブル!$E$3:$H$6,2,0)</f>
        <v>片山商事</v>
      </c>
      <c r="E24" s="52">
        <v>492</v>
      </c>
      <c r="F24" s="52">
        <v>445</v>
      </c>
      <c r="G24" s="53">
        <f>VLOOKUP(A24,テーブル!$A$3:$C$11,3,0)*F24</f>
        <v>413850</v>
      </c>
      <c r="H24" s="53">
        <f>ROUND(G24*VLOOKUP(C24,テーブル!$E$3:$H$6,3,0),-2)</f>
        <v>43500</v>
      </c>
      <c r="I24" s="54">
        <f t="shared" si="0"/>
        <v>9.5000000000000001E-2</v>
      </c>
      <c r="K24" s="21"/>
    </row>
    <row r="25" spans="1:11">
      <c r="A25" s="49">
        <v>16</v>
      </c>
      <c r="B25" s="50" t="str">
        <f>VLOOKUP(A25,テーブル!$A$3:$C$11,2,0)</f>
        <v>Ｗ商品</v>
      </c>
      <c r="C25" s="51">
        <v>104</v>
      </c>
      <c r="D25" s="51" t="str">
        <f>VLOOKUP(C25,テーブル!$E$3:$H$6,2,0)</f>
        <v>鈴木青果</v>
      </c>
      <c r="E25" s="52">
        <v>440</v>
      </c>
      <c r="F25" s="52">
        <v>399</v>
      </c>
      <c r="G25" s="53">
        <f>VLOOKUP(A25,テーブル!$A$3:$C$11,3,0)*F25</f>
        <v>371070</v>
      </c>
      <c r="H25" s="53">
        <f>ROUND(G25*VLOOKUP(C25,テーブル!$E$3:$H$6,3,0),-2)</f>
        <v>47100</v>
      </c>
      <c r="I25" s="54">
        <f t="shared" si="0"/>
        <v>9.2999999999999999E-2</v>
      </c>
      <c r="K25" s="21"/>
    </row>
    <row r="26" spans="1:11">
      <c r="A26" s="49">
        <v>17</v>
      </c>
      <c r="B26" s="50" t="str">
        <f>VLOOKUP(A26,テーブル!$A$3:$C$11,2,0)</f>
        <v>Ｘ商品</v>
      </c>
      <c r="C26" s="51">
        <v>101</v>
      </c>
      <c r="D26" s="51" t="str">
        <f>VLOOKUP(C26,テーブル!$E$3:$H$6,2,0)</f>
        <v>山川総業</v>
      </c>
      <c r="E26" s="52">
        <v>549</v>
      </c>
      <c r="F26" s="52">
        <v>505</v>
      </c>
      <c r="G26" s="53">
        <f>VLOOKUP(A26,テーブル!$A$3:$C$11,3,0)*F26</f>
        <v>489850</v>
      </c>
      <c r="H26" s="53">
        <f>ROUND(G26*VLOOKUP(C26,テーブル!$E$3:$H$6,3,0),-2)</f>
        <v>60700</v>
      </c>
      <c r="I26" s="54">
        <f t="shared" si="0"/>
        <v>0.08</v>
      </c>
      <c r="K26" s="21"/>
    </row>
    <row r="27" spans="1:11">
      <c r="A27" s="49">
        <v>17</v>
      </c>
      <c r="B27" s="50" t="str">
        <f>VLOOKUP(A27,テーブル!$A$3:$C$11,2,0)</f>
        <v>Ｘ商品</v>
      </c>
      <c r="C27" s="51">
        <v>102</v>
      </c>
      <c r="D27" s="51" t="str">
        <f>VLOOKUP(C27,テーブル!$E$3:$H$6,2,0)</f>
        <v>あおき堂</v>
      </c>
      <c r="E27" s="52">
        <v>456</v>
      </c>
      <c r="F27" s="52">
        <v>416</v>
      </c>
      <c r="G27" s="53">
        <f>VLOOKUP(A27,テーブル!$A$3:$C$11,3,0)*F27</f>
        <v>403520</v>
      </c>
      <c r="H27" s="53">
        <f>ROUND(G27*VLOOKUP(C27,テーブル!$E$3:$H$6,3,0),-2)</f>
        <v>47600</v>
      </c>
      <c r="I27" s="54">
        <f t="shared" si="0"/>
        <v>8.6999999999999994E-2</v>
      </c>
      <c r="K27" s="21"/>
    </row>
    <row r="28" spans="1:11">
      <c r="A28" s="49">
        <v>17</v>
      </c>
      <c r="B28" s="50" t="str">
        <f>VLOOKUP(A28,テーブル!$A$3:$C$11,2,0)</f>
        <v>Ｘ商品</v>
      </c>
      <c r="C28" s="51">
        <v>103</v>
      </c>
      <c r="D28" s="51" t="str">
        <f>VLOOKUP(C28,テーブル!$E$3:$H$6,2,0)</f>
        <v>片山商事</v>
      </c>
      <c r="E28" s="52">
        <v>505</v>
      </c>
      <c r="F28" s="52">
        <v>463</v>
      </c>
      <c r="G28" s="53">
        <f>VLOOKUP(A28,テーブル!$A$3:$C$11,3,0)*F28</f>
        <v>449110</v>
      </c>
      <c r="H28" s="53">
        <f>ROUND(G28*VLOOKUP(C28,テーブル!$E$3:$H$6,3,0),-2)</f>
        <v>47200</v>
      </c>
      <c r="I28" s="54">
        <f t="shared" si="0"/>
        <v>8.3000000000000004E-2</v>
      </c>
      <c r="K28" s="21"/>
    </row>
    <row r="29" spans="1:11">
      <c r="A29" s="55">
        <v>17</v>
      </c>
      <c r="B29" s="50" t="str">
        <f>VLOOKUP(A29,テーブル!$A$3:$C$11,2,0)</f>
        <v>Ｘ商品</v>
      </c>
      <c r="C29" s="51">
        <v>104</v>
      </c>
      <c r="D29" s="51" t="str">
        <f>VLOOKUP(C29,テーブル!$E$3:$H$6,2,0)</f>
        <v>鈴木青果</v>
      </c>
      <c r="E29" s="52">
        <v>525</v>
      </c>
      <c r="F29" s="52">
        <v>477</v>
      </c>
      <c r="G29" s="53">
        <f>VLOOKUP(A29,テーブル!$A$3:$C$11,3,0)*F29</f>
        <v>462690</v>
      </c>
      <c r="H29" s="53">
        <f>ROUND(G29*VLOOKUP(C29,テーブル!$E$3:$H$6,3,0),-2)</f>
        <v>58800</v>
      </c>
      <c r="I29" s="54">
        <f t="shared" si="0"/>
        <v>9.0999999999999998E-2</v>
      </c>
      <c r="K29" s="21"/>
    </row>
    <row r="30" spans="1:11">
      <c r="A30" s="55">
        <v>18</v>
      </c>
      <c r="B30" s="50" t="str">
        <f>VLOOKUP(A30,テーブル!$A$3:$C$11,2,0)</f>
        <v>Ｙ商品</v>
      </c>
      <c r="C30" s="51">
        <v>101</v>
      </c>
      <c r="D30" s="51" t="str">
        <f>VLOOKUP(C30,テーブル!$E$3:$H$6,2,0)</f>
        <v>山川総業</v>
      </c>
      <c r="E30" s="52">
        <v>579</v>
      </c>
      <c r="F30" s="52">
        <v>535</v>
      </c>
      <c r="G30" s="53">
        <f>VLOOKUP(A30,テーブル!$A$3:$C$11,3,0)*F30</f>
        <v>535000</v>
      </c>
      <c r="H30" s="53">
        <f>ROUND(G30*VLOOKUP(C30,テーブル!$E$3:$H$6,3,0),-2)</f>
        <v>66300</v>
      </c>
      <c r="I30" s="54">
        <f t="shared" si="0"/>
        <v>7.4999999999999997E-2</v>
      </c>
      <c r="K30" s="21"/>
    </row>
    <row r="31" spans="1:11">
      <c r="A31" s="55">
        <v>18</v>
      </c>
      <c r="B31" s="50" t="str">
        <f>VLOOKUP(A31,テーブル!$A$3:$C$11,2,0)</f>
        <v>Ｙ商品</v>
      </c>
      <c r="C31" s="51">
        <v>102</v>
      </c>
      <c r="D31" s="51" t="str">
        <f>VLOOKUP(C31,テーブル!$E$3:$H$6,2,0)</f>
        <v>あおき堂</v>
      </c>
      <c r="E31" s="52">
        <v>480</v>
      </c>
      <c r="F31" s="52">
        <v>435</v>
      </c>
      <c r="G31" s="53">
        <f>VLOOKUP(A31,テーブル!$A$3:$C$11,3,0)*F31</f>
        <v>435000</v>
      </c>
      <c r="H31" s="53">
        <f>ROUND(G31*VLOOKUP(C31,テーブル!$E$3:$H$6,3,0),-2)</f>
        <v>51300</v>
      </c>
      <c r="I31" s="54">
        <f t="shared" si="0"/>
        <v>9.2999999999999999E-2</v>
      </c>
      <c r="K31" s="21"/>
    </row>
    <row r="32" spans="1:11">
      <c r="A32" s="55">
        <v>18</v>
      </c>
      <c r="B32" s="50" t="str">
        <f>VLOOKUP(A32,テーブル!$A$3:$C$11,2,0)</f>
        <v>Ｙ商品</v>
      </c>
      <c r="C32" s="51">
        <v>103</v>
      </c>
      <c r="D32" s="51" t="str">
        <f>VLOOKUP(C32,テーブル!$E$3:$H$6,2,0)</f>
        <v>片山商事</v>
      </c>
      <c r="E32" s="52">
        <v>558</v>
      </c>
      <c r="F32" s="52">
        <v>515</v>
      </c>
      <c r="G32" s="53">
        <f>VLOOKUP(A32,テーブル!$A$3:$C$11,3,0)*F32</f>
        <v>515000</v>
      </c>
      <c r="H32" s="53">
        <f>ROUND(G32*VLOOKUP(C32,テーブル!$E$3:$H$6,3,0),-2)</f>
        <v>54100</v>
      </c>
      <c r="I32" s="54">
        <f t="shared" si="0"/>
        <v>7.6999999999999999E-2</v>
      </c>
      <c r="K32" s="21"/>
    </row>
    <row r="33" spans="1:11">
      <c r="A33" s="55">
        <v>18</v>
      </c>
      <c r="B33" s="50" t="str">
        <f>VLOOKUP(A33,テーブル!$A$3:$C$11,2,0)</f>
        <v>Ｙ商品</v>
      </c>
      <c r="C33" s="51">
        <v>104</v>
      </c>
      <c r="D33" s="51" t="str">
        <f>VLOOKUP(C33,テーブル!$E$3:$H$6,2,0)</f>
        <v>鈴木青果</v>
      </c>
      <c r="E33" s="52">
        <v>518</v>
      </c>
      <c r="F33" s="52">
        <v>478</v>
      </c>
      <c r="G33" s="53">
        <f>VLOOKUP(A33,テーブル!$A$3:$C$11,3,0)*F33</f>
        <v>478000</v>
      </c>
      <c r="H33" s="53">
        <f>ROUND(G33*VLOOKUP(C33,テーブル!$E$3:$H$6,3,0),-2)</f>
        <v>60700</v>
      </c>
      <c r="I33" s="54">
        <f t="shared" si="0"/>
        <v>7.6999999999999999E-2</v>
      </c>
      <c r="K33" s="21"/>
    </row>
    <row r="34" spans="1:11">
      <c r="A34" s="55">
        <v>19</v>
      </c>
      <c r="B34" s="50" t="str">
        <f>VLOOKUP(A34,テーブル!$A$3:$C$11,2,0)</f>
        <v>Ｚ商品</v>
      </c>
      <c r="C34" s="51">
        <v>101</v>
      </c>
      <c r="D34" s="51" t="str">
        <f>VLOOKUP(C34,テーブル!$E$3:$H$6,2,0)</f>
        <v>山川総業</v>
      </c>
      <c r="E34" s="52">
        <v>466</v>
      </c>
      <c r="F34" s="52">
        <v>421</v>
      </c>
      <c r="G34" s="53">
        <f>VLOOKUP(A34,テーブル!$A$3:$C$11,3,0)*F34</f>
        <v>425210</v>
      </c>
      <c r="H34" s="53">
        <f>ROUND(G34*VLOOKUP(C34,テーブル!$E$3:$H$6,3,0),-2)</f>
        <v>52700</v>
      </c>
      <c r="I34" s="54">
        <f t="shared" si="0"/>
        <v>9.6000000000000002E-2</v>
      </c>
      <c r="K34" s="21"/>
    </row>
    <row r="35" spans="1:11">
      <c r="A35" s="55">
        <v>19</v>
      </c>
      <c r="B35" s="50" t="str">
        <f>VLOOKUP(A35,テーブル!$A$3:$C$11,2,0)</f>
        <v>Ｚ商品</v>
      </c>
      <c r="C35" s="51">
        <v>102</v>
      </c>
      <c r="D35" s="51" t="str">
        <f>VLOOKUP(C35,テーブル!$E$3:$H$6,2,0)</f>
        <v>あおき堂</v>
      </c>
      <c r="E35" s="52">
        <v>434</v>
      </c>
      <c r="F35" s="52">
        <v>393</v>
      </c>
      <c r="G35" s="53">
        <f>VLOOKUP(A35,テーブル!$A$3:$C$11,3,0)*F35</f>
        <v>396930</v>
      </c>
      <c r="H35" s="53">
        <f>ROUND(G35*VLOOKUP(C35,テーブル!$E$3:$H$6,3,0),-2)</f>
        <v>46800</v>
      </c>
      <c r="I35" s="54">
        <f t="shared" si="0"/>
        <v>9.4E-2</v>
      </c>
      <c r="K35" s="21"/>
    </row>
    <row r="36" spans="1:11">
      <c r="A36" s="55">
        <v>19</v>
      </c>
      <c r="B36" s="50" t="str">
        <f>VLOOKUP(A36,テーブル!$A$3:$C$11,2,0)</f>
        <v>Ｚ商品</v>
      </c>
      <c r="C36" s="51">
        <v>103</v>
      </c>
      <c r="D36" s="51" t="str">
        <f>VLOOKUP(C36,テーブル!$E$3:$H$6,2,0)</f>
        <v>片山商事</v>
      </c>
      <c r="E36" s="52">
        <v>453</v>
      </c>
      <c r="F36" s="52">
        <v>409</v>
      </c>
      <c r="G36" s="53">
        <f>VLOOKUP(A36,テーブル!$A$3:$C$11,3,0)*F36</f>
        <v>413090</v>
      </c>
      <c r="H36" s="53">
        <f>ROUND(G36*VLOOKUP(C36,テーブル!$E$3:$H$6,3,0),-2)</f>
        <v>43400</v>
      </c>
      <c r="I36" s="54">
        <f t="shared" si="0"/>
        <v>9.7000000000000003E-2</v>
      </c>
      <c r="K36" s="21"/>
    </row>
    <row r="37" spans="1:11">
      <c r="A37" s="55">
        <v>19</v>
      </c>
      <c r="B37" s="50" t="str">
        <f>VLOOKUP(A37,テーブル!$A$3:$C$11,2,0)</f>
        <v>Ｚ商品</v>
      </c>
      <c r="C37" s="51">
        <v>104</v>
      </c>
      <c r="D37" s="51" t="str">
        <f>VLOOKUP(C37,テーブル!$E$3:$H$6,2,0)</f>
        <v>鈴木青果</v>
      </c>
      <c r="E37" s="52">
        <v>430</v>
      </c>
      <c r="F37" s="52">
        <v>390</v>
      </c>
      <c r="G37" s="53">
        <f>VLOOKUP(A37,テーブル!$A$3:$C$11,3,0)*F37</f>
        <v>393900</v>
      </c>
      <c r="H37" s="53">
        <f>ROUND(G37*VLOOKUP(C37,テーブル!$E$3:$H$6,3,0),-2)</f>
        <v>50000</v>
      </c>
      <c r="I37" s="54">
        <f t="shared" si="0"/>
        <v>9.2999999999999999E-2</v>
      </c>
      <c r="K37" s="21"/>
    </row>
    <row r="38" spans="1:11">
      <c r="A38" s="55"/>
      <c r="B38" s="56"/>
      <c r="C38" s="57"/>
      <c r="D38" s="57"/>
      <c r="E38" s="57"/>
      <c r="F38" s="57"/>
      <c r="G38" s="57"/>
      <c r="H38" s="57"/>
      <c r="I38" s="58"/>
    </row>
    <row r="39" spans="1:11" ht="14.25" thickBot="1">
      <c r="A39" s="59"/>
      <c r="B39" s="60" t="s">
        <v>15</v>
      </c>
      <c r="C39" s="61"/>
      <c r="D39" s="62"/>
      <c r="E39" s="63">
        <f>SUM(E2:E37)</f>
        <v>18177</v>
      </c>
      <c r="F39" s="63">
        <f t="shared" ref="F39:H39" si="1">SUM(F2:F37)</f>
        <v>16607</v>
      </c>
      <c r="G39" s="63">
        <f t="shared" si="1"/>
        <v>13774500</v>
      </c>
      <c r="H39" s="63">
        <f t="shared" si="1"/>
        <v>1631300</v>
      </c>
      <c r="I39" s="64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19"/>
  <sheetViews>
    <sheetView zoomScaleNormal="100" workbookViewId="0">
      <selection sqref="A1:D1"/>
    </sheetView>
  </sheetViews>
  <sheetFormatPr defaultRowHeight="13.5"/>
  <cols>
    <col min="1" max="2" width="7.5" style="1" bestFit="1" customWidth="1"/>
    <col min="3" max="3" width="10.5" style="1" bestFit="1" customWidth="1"/>
    <col min="4" max="4" width="8.5" style="1" bestFit="1" customWidth="1"/>
    <col min="5" max="5" width="11.625" style="1" bestFit="1" customWidth="1"/>
    <col min="6" max="8" width="9.5" style="1" bestFit="1" customWidth="1"/>
    <col min="9" max="9" width="11.625" style="1" bestFit="1" customWidth="1"/>
    <col min="10" max="10" width="10.5" style="1" bestFit="1" customWidth="1"/>
    <col min="11" max="11" width="7.5" style="1" bestFit="1" customWidth="1"/>
    <col min="12" max="12" width="7.5" style="1" customWidth="1"/>
    <col min="13" max="13" width="11.625" style="1" bestFit="1" customWidth="1"/>
    <col min="14" max="14" width="10.5" style="1" bestFit="1" customWidth="1"/>
    <col min="15" max="16" width="7.5" style="1" bestFit="1" customWidth="1"/>
    <col min="17" max="17" width="11.625" style="1" bestFit="1" customWidth="1"/>
    <col min="18" max="18" width="10.5" style="1" bestFit="1" customWidth="1"/>
    <col min="19" max="19" width="7.5" style="1" customWidth="1"/>
    <col min="20" max="20" width="11.625" style="1" bestFit="1" customWidth="1"/>
    <col min="21" max="21" width="5.5" style="1" bestFit="1" customWidth="1"/>
    <col min="22" max="23" width="7.5" style="1" bestFit="1" customWidth="1"/>
    <col min="24" max="16384" width="9" style="1"/>
  </cols>
  <sheetData>
    <row r="1" spans="1:22" ht="14.25" thickBot="1">
      <c r="A1" s="66" t="s">
        <v>19</v>
      </c>
      <c r="B1" s="66"/>
      <c r="C1" s="66"/>
      <c r="D1" s="66"/>
      <c r="F1" s="66" t="s">
        <v>16</v>
      </c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</row>
    <row r="2" spans="1:22">
      <c r="A2" s="13" t="s">
        <v>11</v>
      </c>
      <c r="B2" s="65" t="s">
        <v>4</v>
      </c>
      <c r="C2" s="65" t="s">
        <v>6</v>
      </c>
      <c r="D2" s="14" t="s">
        <v>7</v>
      </c>
      <c r="E2" s="16"/>
      <c r="F2" s="38"/>
      <c r="G2" s="67" t="s">
        <v>36</v>
      </c>
      <c r="H2" s="67"/>
      <c r="I2" s="67"/>
      <c r="J2" s="67"/>
      <c r="K2" s="67" t="s">
        <v>37</v>
      </c>
      <c r="L2" s="67"/>
      <c r="M2" s="67"/>
      <c r="N2" s="67"/>
      <c r="O2" s="67" t="s">
        <v>42</v>
      </c>
      <c r="P2" s="67"/>
      <c r="Q2" s="67"/>
      <c r="R2" s="67"/>
      <c r="S2" s="40"/>
      <c r="T2" s="40"/>
      <c r="U2" s="41"/>
      <c r="V2" s="42"/>
    </row>
    <row r="3" spans="1:22">
      <c r="A3" s="31" t="s">
        <v>35</v>
      </c>
      <c r="B3" s="5">
        <f>SUMIF(上期!$B$2:$B$37,$A3,上期!F$2:F$37)+SUMIF(下期!$B$2:$B$37,$A3,下期!F$2:F$37)</f>
        <v>3546</v>
      </c>
      <c r="C3" s="5">
        <f>SUMIF(上期!$B$2:$B$37,$A3,上期!G$2:G$37)+SUMIF(下期!$B$2:$B$37,$A3,下期!G$2:G$37)</f>
        <v>1914840</v>
      </c>
      <c r="D3" s="32">
        <f>SUMIF(上期!$B$2:$B$37,$A3,上期!H$2:H$37)+SUMIF(下期!$B$2:$B$37,$A3,下期!H$2:H$37)</f>
        <v>228000</v>
      </c>
      <c r="E3" s="15"/>
      <c r="F3" s="39" t="s">
        <v>43</v>
      </c>
      <c r="G3" s="17" t="s">
        <v>3</v>
      </c>
      <c r="H3" s="17" t="s">
        <v>4</v>
      </c>
      <c r="I3" s="17" t="s">
        <v>6</v>
      </c>
      <c r="J3" s="17" t="s">
        <v>7</v>
      </c>
      <c r="K3" s="17" t="s">
        <v>3</v>
      </c>
      <c r="L3" s="17" t="s">
        <v>4</v>
      </c>
      <c r="M3" s="17" t="s">
        <v>6</v>
      </c>
      <c r="N3" s="17" t="s">
        <v>7</v>
      </c>
      <c r="O3" s="17" t="s">
        <v>3</v>
      </c>
      <c r="P3" s="17" t="s">
        <v>4</v>
      </c>
      <c r="Q3" s="17" t="s">
        <v>6</v>
      </c>
      <c r="R3" s="17" t="s">
        <v>7</v>
      </c>
      <c r="S3" s="43" t="s">
        <v>5</v>
      </c>
      <c r="T3" s="43" t="s">
        <v>20</v>
      </c>
      <c r="U3" s="44" t="s">
        <v>9</v>
      </c>
      <c r="V3" s="45" t="s">
        <v>29</v>
      </c>
    </row>
    <row r="4" spans="1:22">
      <c r="A4" s="31" t="s">
        <v>22</v>
      </c>
      <c r="B4" s="5">
        <f>SUMIF(上期!$B$2:$B$37,$A4,上期!F$2:F$37)+SUMIF(下期!$B$2:$B$37,$A4,下期!F$2:F$37)</f>
        <v>3646</v>
      </c>
      <c r="C4" s="5">
        <f>SUMIF(上期!$B$2:$B$37,$A4,上期!G$2:G$37)+SUMIF(下期!$B$2:$B$37,$A4,下期!G$2:G$37)</f>
        <v>2224060</v>
      </c>
      <c r="D4" s="32">
        <f>SUMIF(上期!$B$2:$B$37,$A4,上期!H$2:H$37)+SUMIF(下期!$B$2:$B$37,$A4,下期!H$2:H$37)</f>
        <v>264100</v>
      </c>
      <c r="E4" s="24"/>
      <c r="F4" s="3" t="s">
        <v>39</v>
      </c>
      <c r="G4" s="5">
        <f ca="1">DSUM(INDIRECT($G$2&amp;"!$A$1:$I$37"),G$3,$F$11:$F$12)</f>
        <v>4714</v>
      </c>
      <c r="H4" s="5">
        <f t="shared" ref="H4:J4" ca="1" si="0">DSUM(INDIRECT($G$2&amp;"!$A$1:$I$37"),H$3,$F$11:$F$12)</f>
        <v>4326</v>
      </c>
      <c r="I4" s="5">
        <f t="shared" ca="1" si="0"/>
        <v>3597490</v>
      </c>
      <c r="J4" s="5">
        <f t="shared" ca="1" si="0"/>
        <v>446200</v>
      </c>
      <c r="K4" s="5">
        <f ca="1">DSUM(INDIRECT($K$2&amp;"!$A$1:$I$37"),K$3,$F$11:$F$12)</f>
        <v>4836</v>
      </c>
      <c r="L4" s="5">
        <f t="shared" ref="L4:N4" ca="1" si="1">DSUM(INDIRECT($K$2&amp;"!$A$1:$I$37"),L$3,$F$11:$F$12)</f>
        <v>4445</v>
      </c>
      <c r="M4" s="5">
        <f t="shared" ca="1" si="1"/>
        <v>3685340</v>
      </c>
      <c r="N4" s="5">
        <f t="shared" ca="1" si="1"/>
        <v>456900</v>
      </c>
      <c r="O4" s="5">
        <f t="shared" ref="O4:R7" ca="1" si="2">G4+K4</f>
        <v>9550</v>
      </c>
      <c r="P4" s="5">
        <f t="shared" ca="1" si="2"/>
        <v>8771</v>
      </c>
      <c r="Q4" s="5">
        <f t="shared" ca="1" si="2"/>
        <v>7282830</v>
      </c>
      <c r="R4" s="5">
        <f t="shared" ca="1" si="2"/>
        <v>903100</v>
      </c>
      <c r="S4" s="5">
        <f ca="1">O4-P4</f>
        <v>779</v>
      </c>
      <c r="T4" s="28">
        <f ca="1">IF(P4&gt;VLOOKUP(F4,テーブル!$F$3:$H$6,3,0),R4*9%,0)</f>
        <v>81279</v>
      </c>
      <c r="U4" s="27" t="str">
        <f ca="1">IF(AND(S4&lt;=790,R4&gt;=AVERAGE($R$4:$R$7)),"Ａ","Ｎ")</f>
        <v>Ａ</v>
      </c>
      <c r="V4" s="7">
        <f ca="1">ROUNDUP(P4/VLOOKUP(F4,テーブル!$F$3:$H$6,3,0),3)</f>
        <v>1.121</v>
      </c>
    </row>
    <row r="5" spans="1:22">
      <c r="A5" s="31" t="s">
        <v>23</v>
      </c>
      <c r="B5" s="5">
        <f>SUMIF(上期!$B$2:$B$37,$A5,上期!F$2:F$37)+SUMIF(下期!$B$2:$B$37,$A5,下期!F$2:F$37)</f>
        <v>3936</v>
      </c>
      <c r="C5" s="5">
        <f>SUMIF(上期!$B$2:$B$37,$A5,上期!G$2:G$37)+SUMIF(下期!$B$2:$B$37,$A5,下期!G$2:G$37)</f>
        <v>2833920</v>
      </c>
      <c r="D5" s="32">
        <f>SUMIF(上期!$B$2:$B$37,$A5,上期!H$2:H$37)+SUMIF(下期!$B$2:$B$37,$A5,下期!H$2:H$37)</f>
        <v>335300</v>
      </c>
      <c r="E5" s="24"/>
      <c r="F5" s="3" t="s">
        <v>40</v>
      </c>
      <c r="G5" s="5">
        <f ca="1">DSUM(INDIRECT($G$2&amp;"!$A$1:$I$37"),G$3,$G$11:$G$12)</f>
        <v>4473</v>
      </c>
      <c r="H5" s="5">
        <f t="shared" ref="H5:J5" ca="1" si="3">DSUM(INDIRECT($G$2&amp;"!$A$1:$I$37"),H$3,$G$11:$G$12)</f>
        <v>4087</v>
      </c>
      <c r="I5" s="5">
        <f t="shared" ca="1" si="3"/>
        <v>3393660</v>
      </c>
      <c r="J5" s="5">
        <f t="shared" ca="1" si="3"/>
        <v>400400</v>
      </c>
      <c r="K5" s="5">
        <f ca="1">DSUM(INDIRECT($K$2&amp;"!$A$1:$I$37"),K$3,$G$11:$G$12)</f>
        <v>4399</v>
      </c>
      <c r="L5" s="5">
        <f t="shared" ref="L5:N5" ca="1" si="4">DSUM(INDIRECT($K$2&amp;"!$A$1:$I$37"),L$3,$G$11:$G$12)</f>
        <v>4021</v>
      </c>
      <c r="M5" s="5">
        <f t="shared" ca="1" si="4"/>
        <v>3330910</v>
      </c>
      <c r="N5" s="5">
        <f t="shared" ca="1" si="4"/>
        <v>393000</v>
      </c>
      <c r="O5" s="5">
        <f t="shared" ca="1" si="2"/>
        <v>8872</v>
      </c>
      <c r="P5" s="5">
        <f t="shared" ca="1" si="2"/>
        <v>8108</v>
      </c>
      <c r="Q5" s="5">
        <f t="shared" ca="1" si="2"/>
        <v>6724570</v>
      </c>
      <c r="R5" s="5">
        <f t="shared" ca="1" si="2"/>
        <v>793400</v>
      </c>
      <c r="S5" s="5">
        <f ca="1">O5-P5</f>
        <v>764</v>
      </c>
      <c r="T5" s="28">
        <f ca="1">IF(P5&gt;VLOOKUP(F5,テーブル!$F$3:$H$6,3,0),R5*9%,0)</f>
        <v>0</v>
      </c>
      <c r="U5" s="27" t="str">
        <f ca="1">IF(AND(S5&lt;=790,R5&gt;=AVERAGE($R$4:$R$7)),"Ａ","Ｎ")</f>
        <v>Ｎ</v>
      </c>
      <c r="V5" s="7">
        <f ca="1">ROUNDUP(P5/VLOOKUP(F5,テーブル!$F$3:$H$6,3,0),3)</f>
        <v>0.97899999999999998</v>
      </c>
    </row>
    <row r="6" spans="1:22">
      <c r="A6" s="31" t="s">
        <v>24</v>
      </c>
      <c r="B6" s="5">
        <f>SUMIF(上期!$B$2:$B$37,$A6,上期!F$2:F$37)+SUMIF(下期!$B$2:$B$37,$A6,下期!F$2:F$37)</f>
        <v>3781</v>
      </c>
      <c r="C6" s="5">
        <f>SUMIF(上期!$B$2:$B$37,$A6,上期!G$2:G$37)+SUMIF(下期!$B$2:$B$37,$A6,下期!G$2:G$37)</f>
        <v>3100420</v>
      </c>
      <c r="D6" s="32">
        <f>SUMIF(上期!$B$2:$B$37,$A6,上期!H$2:H$37)+SUMIF(下期!$B$2:$B$37,$A6,下期!H$2:H$37)</f>
        <v>368200</v>
      </c>
      <c r="E6" s="24"/>
      <c r="F6" s="3" t="s">
        <v>41</v>
      </c>
      <c r="G6" s="5">
        <f ca="1">DSUM(INDIRECT($G$2&amp;"!$A$1:$I$37"),G$3,$H$11:$H$12)</f>
        <v>4220</v>
      </c>
      <c r="H6" s="5">
        <f t="shared" ref="H6:J6" ca="1" si="5">DSUM(INDIRECT($G$2&amp;"!$A$1:$I$37"),H$3,$H$11:$H$12)</f>
        <v>3836</v>
      </c>
      <c r="I6" s="5">
        <f t="shared" ca="1" si="5"/>
        <v>3199690</v>
      </c>
      <c r="J6" s="5">
        <f t="shared" ca="1" si="5"/>
        <v>335900</v>
      </c>
      <c r="K6" s="5">
        <f ca="1">DSUM(INDIRECT($K$2&amp;"!$A$1:$I$37"),K$3,$H$11:$H$12)</f>
        <v>4598</v>
      </c>
      <c r="L6" s="5">
        <f t="shared" ref="L6:N6" ca="1" si="6">DSUM(INDIRECT($K$2&amp;"!$A$1:$I$37"),L$3,$H$11:$H$12)</f>
        <v>4193</v>
      </c>
      <c r="M6" s="5">
        <f t="shared" ca="1" si="6"/>
        <v>3493280</v>
      </c>
      <c r="N6" s="5">
        <f t="shared" ca="1" si="6"/>
        <v>366800</v>
      </c>
      <c r="O6" s="5">
        <f t="shared" ca="1" si="2"/>
        <v>8818</v>
      </c>
      <c r="P6" s="5">
        <f t="shared" ca="1" si="2"/>
        <v>8029</v>
      </c>
      <c r="Q6" s="5">
        <f t="shared" ca="1" si="2"/>
        <v>6692970</v>
      </c>
      <c r="R6" s="5">
        <f t="shared" ca="1" si="2"/>
        <v>702700</v>
      </c>
      <c r="S6" s="5">
        <f ca="1">O6-P6</f>
        <v>789</v>
      </c>
      <c r="T6" s="28">
        <f ca="1">IF(P6&gt;VLOOKUP(F6,テーブル!$F$3:$H$6,3,0),R6*9%,0)</f>
        <v>63243</v>
      </c>
      <c r="U6" s="27" t="str">
        <f ca="1">IF(AND(S6&lt;=790,R6&gt;=AVERAGE($R$4:$R$7)),"Ａ","Ｎ")</f>
        <v>Ｎ</v>
      </c>
      <c r="V6" s="7">
        <f ca="1">ROUNDUP(P6/VLOOKUP(F6,テーブル!$F$3:$H$6,3,0),3)</f>
        <v>1.0159999999999998</v>
      </c>
    </row>
    <row r="7" spans="1:22">
      <c r="A7" s="31" t="s">
        <v>30</v>
      </c>
      <c r="B7" s="5">
        <f>SUMIF(上期!$B$2:$B$37,$A7,上期!F$2:F$37)+SUMIF(下期!$B$2:$B$37,$A7,下期!F$2:F$37)</f>
        <v>3617</v>
      </c>
      <c r="C7" s="5">
        <f>SUMIF(上期!$B$2:$B$37,$A7,上期!G$2:G$37)+SUMIF(下期!$B$2:$B$37,$A7,下期!G$2:G$37)</f>
        <v>3182960</v>
      </c>
      <c r="D7" s="32">
        <f>SUMIF(上期!$B$2:$B$37,$A7,上期!H$2:H$37)+SUMIF(下期!$B$2:$B$37,$A7,下期!H$2:H$37)</f>
        <v>377000</v>
      </c>
      <c r="F7" s="3" t="s">
        <v>38</v>
      </c>
      <c r="G7" s="5">
        <f ca="1">DSUM(INDIRECT($G$2&amp;"!$A$1:$I$37"),G$3,$I$11:$I$12)</f>
        <v>4498</v>
      </c>
      <c r="H7" s="5">
        <f t="shared" ref="H7:J7" ca="1" si="7">DSUM(INDIRECT($G$2&amp;"!$A$1:$I$37"),H$3,$I$11:$I$12)</f>
        <v>4098</v>
      </c>
      <c r="I7" s="5">
        <f t="shared" ca="1" si="7"/>
        <v>3395680</v>
      </c>
      <c r="J7" s="5">
        <f t="shared" ca="1" si="7"/>
        <v>431200</v>
      </c>
      <c r="K7" s="5">
        <f ca="1">DSUM(INDIRECT($K$2&amp;"!$A$1:$I$37"),K$3,$I$11:$I$12)</f>
        <v>4344</v>
      </c>
      <c r="L7" s="5">
        <f t="shared" ref="L7:N7" ca="1" si="8">DSUM(INDIRECT($K$2&amp;"!$A$1:$I$37"),L$3,$I$11:$I$12)</f>
        <v>3948</v>
      </c>
      <c r="M7" s="5">
        <f t="shared" ca="1" si="8"/>
        <v>3264970</v>
      </c>
      <c r="N7" s="5">
        <f t="shared" ca="1" si="8"/>
        <v>414600</v>
      </c>
      <c r="O7" s="5">
        <f t="shared" ca="1" si="2"/>
        <v>8842</v>
      </c>
      <c r="P7" s="5">
        <f t="shared" ca="1" si="2"/>
        <v>8046</v>
      </c>
      <c r="Q7" s="5">
        <f t="shared" ca="1" si="2"/>
        <v>6660650</v>
      </c>
      <c r="R7" s="5">
        <f t="shared" ca="1" si="2"/>
        <v>845800</v>
      </c>
      <c r="S7" s="5">
        <f ca="1">O7-P7</f>
        <v>796</v>
      </c>
      <c r="T7" s="28">
        <f ca="1">IF(P7&gt;VLOOKUP(F7,テーブル!$F$3:$H$6,3,0),R7*9%,0)</f>
        <v>0</v>
      </c>
      <c r="U7" s="27" t="str">
        <f ca="1">IF(AND(S7&lt;=790,R7&gt;=AVERAGE($R$4:$R$7)),"Ａ","Ｎ")</f>
        <v>Ｎ</v>
      </c>
      <c r="V7" s="7">
        <f ca="1">ROUNDUP(P7/VLOOKUP(F7,テーブル!$F$3:$H$6,3,0),3)</f>
        <v>1</v>
      </c>
    </row>
    <row r="8" spans="1:22">
      <c r="A8" s="31" t="s">
        <v>31</v>
      </c>
      <c r="B8" s="5">
        <f>SUMIF(上期!$B$2:$B$37,$A8,上期!F$2:F$37)+SUMIF(下期!$B$2:$B$37,$A8,下期!F$2:F$37)</f>
        <v>3535</v>
      </c>
      <c r="C8" s="5">
        <f>SUMIF(上期!$B$2:$B$37,$A8,上期!G$2:G$37)+SUMIF(下期!$B$2:$B$37,$A8,下期!G$2:G$37)</f>
        <v>3287550</v>
      </c>
      <c r="D8" s="32">
        <f>SUMIF(上期!$B$2:$B$37,$A8,上期!H$2:H$37)+SUMIF(下期!$B$2:$B$37,$A8,下期!H$2:H$37)</f>
        <v>389400</v>
      </c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6"/>
    </row>
    <row r="9" spans="1:22" ht="14.25" thickBot="1">
      <c r="A9" s="31" t="s">
        <v>34</v>
      </c>
      <c r="B9" s="5">
        <f>SUMIF(上期!$B$2:$B$37,$A9,上期!F$2:F$37)+SUMIF(下期!$B$2:$B$37,$A9,下期!F$2:F$37)</f>
        <v>3666</v>
      </c>
      <c r="C9" s="5">
        <f>SUMIF(上期!$B$2:$B$37,$A9,上期!G$2:G$37)+SUMIF(下期!$B$2:$B$37,$A9,下期!G$2:G$37)</f>
        <v>3556020</v>
      </c>
      <c r="D9" s="32">
        <f>SUMIF(上期!$B$2:$B$37,$A9,上期!H$2:H$37)+SUMIF(下期!$B$2:$B$37,$A9,下期!H$2:H$37)</f>
        <v>421400</v>
      </c>
      <c r="F9" s="36" t="s">
        <v>0</v>
      </c>
      <c r="G9" s="10">
        <f ca="1">SUM(G4:G7)</f>
        <v>17905</v>
      </c>
      <c r="H9" s="10">
        <f t="shared" ref="H9:I9" ca="1" si="9">SUM(H4:H7)</f>
        <v>16347</v>
      </c>
      <c r="I9" s="10">
        <f t="shared" ca="1" si="9"/>
        <v>13586520</v>
      </c>
      <c r="J9" s="10">
        <f ca="1">SUM(J4:J7)</f>
        <v>1613700</v>
      </c>
      <c r="K9" s="10">
        <f t="shared" ref="K9:R9" ca="1" si="10">SUM(K4:K7)</f>
        <v>18177</v>
      </c>
      <c r="L9" s="10">
        <f t="shared" ca="1" si="10"/>
        <v>16607</v>
      </c>
      <c r="M9" s="10">
        <f t="shared" ca="1" si="10"/>
        <v>13774500</v>
      </c>
      <c r="N9" s="10">
        <f t="shared" ca="1" si="10"/>
        <v>1631300</v>
      </c>
      <c r="O9" s="10">
        <f t="shared" ca="1" si="10"/>
        <v>36082</v>
      </c>
      <c r="P9" s="10">
        <f t="shared" ca="1" si="10"/>
        <v>32954</v>
      </c>
      <c r="Q9" s="10">
        <f t="shared" ca="1" si="10"/>
        <v>27361020</v>
      </c>
      <c r="R9" s="10">
        <f t="shared" ca="1" si="10"/>
        <v>3245000</v>
      </c>
      <c r="S9" s="10">
        <f ca="1">SUM(S4:S7)</f>
        <v>3128</v>
      </c>
      <c r="T9" s="10">
        <f t="shared" ref="T9" ca="1" si="11">SUM(T4:T7)</f>
        <v>144522</v>
      </c>
      <c r="U9" s="22"/>
      <c r="V9" s="9"/>
    </row>
    <row r="10" spans="1:22" ht="14.25" thickBot="1">
      <c r="A10" s="31" t="s">
        <v>33</v>
      </c>
      <c r="B10" s="5">
        <f>SUMIF(上期!$B$2:$B$37,$A10,上期!F$2:F$37)+SUMIF(下期!$B$2:$B$37,$A10,下期!F$2:F$37)</f>
        <v>3802</v>
      </c>
      <c r="C10" s="5">
        <f>SUMIF(上期!$B$2:$B$37,$A10,上期!G$2:G$37)+SUMIF(下期!$B$2:$B$37,$A10,下期!G$2:G$37)</f>
        <v>3802000</v>
      </c>
      <c r="D10" s="32">
        <f>SUMIF(上期!$B$2:$B$37,$A10,上期!H$2:H$37)+SUMIF(下期!$B$2:$B$37,$A10,下期!H$2:H$37)</f>
        <v>450600</v>
      </c>
      <c r="K10" s="21"/>
    </row>
    <row r="11" spans="1:22" ht="14.25" thickBot="1">
      <c r="A11" s="33" t="s">
        <v>32</v>
      </c>
      <c r="B11" s="8">
        <f>SUMIF(上期!$B$2:$B$37,$A11,上期!F$2:F$37)+SUMIF(下期!$B$2:$B$37,$A11,下期!F$2:F$37)</f>
        <v>3425</v>
      </c>
      <c r="C11" s="8">
        <f>SUMIF(上期!$B$2:$B$37,$A11,上期!G$2:G$37)+SUMIF(下期!$B$2:$B$37,$A11,下期!G$2:G$37)</f>
        <v>3459250</v>
      </c>
      <c r="D11" s="12">
        <f>SUMIF(上期!$B$2:$B$37,$A11,上期!H$2:H$37)+SUMIF(下期!$B$2:$B$37,$A11,下期!H$2:H$37)</f>
        <v>411000</v>
      </c>
      <c r="F11" s="37" t="s">
        <v>1</v>
      </c>
      <c r="G11" s="37" t="s">
        <v>1</v>
      </c>
      <c r="H11" s="37" t="s">
        <v>1</v>
      </c>
      <c r="I11" s="37" t="s">
        <v>1</v>
      </c>
      <c r="K11" s="21"/>
      <c r="L11" s="34"/>
      <c r="M11" s="34"/>
      <c r="N11" s="34"/>
      <c r="O11" s="34"/>
      <c r="P11" s="34"/>
      <c r="Q11" s="34"/>
      <c r="R11" s="34"/>
      <c r="S11" s="34"/>
    </row>
    <row r="12" spans="1:22" ht="14.25" thickBot="1">
      <c r="A12" s="29"/>
      <c r="B12" s="30"/>
      <c r="C12" s="30"/>
      <c r="D12" s="30"/>
      <c r="F12" s="11" t="s">
        <v>39</v>
      </c>
      <c r="G12" s="11" t="s">
        <v>40</v>
      </c>
      <c r="H12" s="11" t="s">
        <v>41</v>
      </c>
      <c r="I12" s="11" t="s">
        <v>38</v>
      </c>
      <c r="L12" s="16"/>
      <c r="M12" s="16"/>
      <c r="N12" s="16"/>
      <c r="O12" s="16"/>
      <c r="P12" s="16"/>
      <c r="Q12" s="16"/>
      <c r="R12" s="16"/>
      <c r="S12" s="16"/>
    </row>
    <row r="13" spans="1:22">
      <c r="A13" s="29"/>
      <c r="B13" s="30"/>
      <c r="C13" s="30"/>
      <c r="D13" s="30"/>
    </row>
    <row r="14" spans="1:22">
      <c r="A14" s="29"/>
      <c r="B14" s="30"/>
      <c r="C14" s="30"/>
      <c r="D14" s="30"/>
    </row>
    <row r="15" spans="1:22">
      <c r="A15" s="16"/>
      <c r="B15" s="20"/>
      <c r="C15" s="20"/>
      <c r="D15" s="20"/>
      <c r="F15" s="35"/>
    </row>
    <row r="16" spans="1:22">
      <c r="A16" s="16"/>
      <c r="B16" s="16"/>
      <c r="C16" s="16"/>
      <c r="D16" s="16"/>
    </row>
    <row r="17" spans="1:4">
      <c r="A17" s="15"/>
      <c r="B17" s="15"/>
      <c r="C17" s="15"/>
      <c r="D17" s="15"/>
    </row>
    <row r="18" spans="1:4">
      <c r="A18" s="16"/>
      <c r="B18" s="29"/>
      <c r="C18" s="29"/>
      <c r="D18" s="16"/>
    </row>
    <row r="19" spans="1:4">
      <c r="A19" s="15"/>
      <c r="B19" s="15"/>
      <c r="C19" s="15"/>
      <c r="D19" s="15"/>
    </row>
  </sheetData>
  <sortState xmlns:xlrd2="http://schemas.microsoft.com/office/spreadsheetml/2017/richdata2" ref="F4:V7">
    <sortCondition descending="1" ref="Q4:Q7"/>
  </sortState>
  <mergeCells count="5">
    <mergeCell ref="A1:D1"/>
    <mergeCell ref="G2:J2"/>
    <mergeCell ref="K2:N2"/>
    <mergeCell ref="O2:R2"/>
    <mergeCell ref="F1:V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上期</vt:lpstr>
      <vt:lpstr>下期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2019-01-16T21:02:38Z</cp:lastPrinted>
  <dcterms:created xsi:type="dcterms:W3CDTF">2012-06-19T05:36:06Z</dcterms:created>
  <dcterms:modified xsi:type="dcterms:W3CDTF">2021-02-19T04:16:38Z</dcterms:modified>
</cp:coreProperties>
</file>