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heme/themeOverride1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628"/>
  <workbookPr autoCompressPictures="0" defaultThemeVersion="166925"/>
  <mc:AlternateContent xmlns:mc="http://schemas.openxmlformats.org/markup-compatibility/2006">
    <mc:Choice Requires="x15">
      <x15ac:absPath xmlns:x15ac="http://schemas.microsoft.com/office/spreadsheetml/2010/11/ac" url="C:\Users\k_imazu\Desktop\SPS模範解答\模範解答\"/>
    </mc:Choice>
  </mc:AlternateContent>
  <xr:revisionPtr revIDLastSave="0" documentId="13_ncr:1_{22DACD15-83BD-4B24-8D41-20A914D7F014}" xr6:coauthVersionLast="46" xr6:coauthVersionMax="46" xr10:uidLastSave="{00000000-0000-0000-0000-000000000000}"/>
  <bookViews>
    <workbookView xWindow="2655" yWindow="2415" windowWidth="18000" windowHeight="9360" xr2:uid="{00000000-000D-0000-FFFF-FFFF00000000}"/>
  </bookViews>
  <sheets>
    <sheet name="テーブル" sheetId="1" r:id="rId1"/>
    <sheet name="納品データ表" sheetId="10" r:id="rId2"/>
    <sheet name="部品R" sheetId="7" r:id="rId3"/>
    <sheet name="部品S" sheetId="8" r:id="rId4"/>
    <sheet name="部品T" sheetId="9" r:id="rId5"/>
    <sheet name="計算表" sheetId="5" r:id="rId6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" i="5" l="1"/>
  <c r="D5" i="5"/>
  <c r="D6" i="5"/>
  <c r="D7" i="5"/>
  <c r="D3" i="5"/>
  <c r="D3" i="9"/>
  <c r="D4" i="9"/>
  <c r="D5" i="9"/>
  <c r="D6" i="9"/>
  <c r="D7" i="9"/>
  <c r="D8" i="9"/>
  <c r="D9" i="9"/>
  <c r="D10" i="9"/>
  <c r="D11" i="9"/>
  <c r="D12" i="9"/>
  <c r="D13" i="9"/>
  <c r="D14" i="9"/>
  <c r="D15" i="9"/>
  <c r="D16" i="9"/>
  <c r="D17" i="9"/>
  <c r="D18" i="9"/>
  <c r="D19" i="9"/>
  <c r="D20" i="9"/>
  <c r="D21" i="9"/>
  <c r="D22" i="9"/>
  <c r="D23" i="9"/>
  <c r="D24" i="9"/>
  <c r="D25" i="9"/>
  <c r="D26" i="9"/>
  <c r="D27" i="9"/>
  <c r="D2" i="9"/>
  <c r="D3" i="8"/>
  <c r="D4" i="8"/>
  <c r="D5" i="8"/>
  <c r="D6" i="8"/>
  <c r="D7" i="8"/>
  <c r="D8" i="8"/>
  <c r="D9" i="8"/>
  <c r="D10" i="8"/>
  <c r="D11" i="8"/>
  <c r="D12" i="8"/>
  <c r="D13" i="8"/>
  <c r="D14" i="8"/>
  <c r="D15" i="8"/>
  <c r="D16" i="8"/>
  <c r="D17" i="8"/>
  <c r="D18" i="8"/>
  <c r="D19" i="8"/>
  <c r="D20" i="8"/>
  <c r="D21" i="8"/>
  <c r="D22" i="8"/>
  <c r="D23" i="8"/>
  <c r="D24" i="8"/>
  <c r="D25" i="8"/>
  <c r="D26" i="8"/>
  <c r="D27" i="8"/>
  <c r="D2" i="8"/>
  <c r="D3" i="7"/>
  <c r="D4" i="7"/>
  <c r="D5" i="7"/>
  <c r="D6" i="7"/>
  <c r="D7" i="7"/>
  <c r="D8" i="7"/>
  <c r="D9" i="7"/>
  <c r="D10" i="7"/>
  <c r="D11" i="7"/>
  <c r="D12" i="7"/>
  <c r="D13" i="7"/>
  <c r="D14" i="7"/>
  <c r="D15" i="7"/>
  <c r="D16" i="7"/>
  <c r="D17" i="7"/>
  <c r="D18" i="7"/>
  <c r="D19" i="7"/>
  <c r="D20" i="7"/>
  <c r="D21" i="7"/>
  <c r="D22" i="7"/>
  <c r="D23" i="7"/>
  <c r="D24" i="7"/>
  <c r="D25" i="7"/>
  <c r="D26" i="7"/>
  <c r="D27" i="7"/>
  <c r="D2" i="7"/>
  <c r="K7" i="5"/>
  <c r="L6" i="5"/>
  <c r="J5" i="5"/>
  <c r="K5" i="5"/>
  <c r="K4" i="5"/>
  <c r="J6" i="5"/>
  <c r="L5" i="5"/>
  <c r="K6" i="5"/>
  <c r="J4" i="5"/>
  <c r="J7" i="5"/>
  <c r="L4" i="5"/>
  <c r="L7" i="5"/>
  <c r="M5" i="5" l="1"/>
  <c r="M7" i="5"/>
  <c r="M6" i="5"/>
  <c r="M4" i="5"/>
  <c r="C7" i="5"/>
  <c r="C6" i="5"/>
  <c r="C5" i="5"/>
  <c r="C4" i="5"/>
  <c r="C3" i="5"/>
  <c r="N6" i="5" l="1"/>
  <c r="O6" i="5" s="1"/>
  <c r="N7" i="5"/>
  <c r="O7" i="5" s="1"/>
  <c r="N5" i="5"/>
  <c r="O5" i="5" s="1"/>
  <c r="N4" i="5"/>
  <c r="O4" i="5" s="1"/>
  <c r="E3" i="10"/>
  <c r="E4" i="10"/>
  <c r="E5" i="10"/>
  <c r="E6" i="10"/>
  <c r="E7" i="10"/>
  <c r="E8" i="10"/>
  <c r="E9" i="10"/>
  <c r="E10" i="10"/>
  <c r="E11" i="10"/>
  <c r="E12" i="10"/>
  <c r="E13" i="10"/>
  <c r="E14" i="10"/>
  <c r="E15" i="10"/>
  <c r="E16" i="10"/>
  <c r="E17" i="10"/>
  <c r="E18" i="10"/>
  <c r="E19" i="10"/>
  <c r="E20" i="10"/>
  <c r="E21" i="10"/>
  <c r="E22" i="10"/>
  <c r="E23" i="10"/>
  <c r="E24" i="10"/>
  <c r="E25" i="10"/>
  <c r="E26" i="10"/>
  <c r="E27" i="10"/>
  <c r="E28" i="10"/>
  <c r="E29" i="10"/>
  <c r="E30" i="10"/>
  <c r="E31" i="10"/>
  <c r="E32" i="10"/>
  <c r="E33" i="10"/>
  <c r="E34" i="10"/>
  <c r="E35" i="10"/>
  <c r="E36" i="10"/>
  <c r="E37" i="10"/>
  <c r="E38" i="10"/>
  <c r="E39" i="10"/>
  <c r="E40" i="10"/>
  <c r="E2" i="10"/>
  <c r="I6" i="5"/>
  <c r="I7" i="5"/>
  <c r="I5" i="5"/>
  <c r="I4" i="5"/>
  <c r="E3" i="5" l="1"/>
  <c r="E6" i="5"/>
  <c r="E7" i="5" l="1"/>
  <c r="E4" i="5"/>
  <c r="E5" i="5"/>
  <c r="B6" i="5" l="1"/>
  <c r="J9" i="5" l="1"/>
  <c r="B5" i="5"/>
  <c r="B4" i="5"/>
  <c r="B3" i="5"/>
  <c r="B7" i="5"/>
  <c r="F6" i="5" l="1"/>
  <c r="C9" i="5"/>
  <c r="F3" i="5"/>
  <c r="F4" i="5" l="1"/>
  <c r="F5" i="5"/>
  <c r="D9" i="5"/>
  <c r="K9" i="5"/>
  <c r="M9" i="5"/>
  <c r="E9" i="5"/>
  <c r="F7" i="5"/>
  <c r="F9" i="5" l="1"/>
  <c r="L9" i="5"/>
  <c r="N9" i="5" l="1"/>
  <c r="O9" i="5"/>
</calcChain>
</file>

<file path=xl/sharedStrings.xml><?xml version="1.0" encoding="utf-8"?>
<sst xmlns="http://schemas.openxmlformats.org/spreadsheetml/2006/main" count="169" uniqueCount="55">
  <si>
    <t>合　計</t>
  </si>
  <si>
    <t>101C</t>
  </si>
  <si>
    <t>104C</t>
  </si>
  <si>
    <t>請求額</t>
  </si>
  <si>
    <t>A</t>
  </si>
  <si>
    <t>B</t>
  </si>
  <si>
    <t>C</t>
  </si>
  <si>
    <t>納品先別請求額計算表</t>
  </si>
  <si>
    <t>社員別支給額計算表</t>
  </si>
  <si>
    <t>社ＣＯ</t>
  </si>
  <si>
    <t>部ＣＯ</t>
  </si>
  <si>
    <t>納ＣＯ</t>
  </si>
  <si>
    <t>加工代金</t>
  </si>
  <si>
    <t>部品名</t>
  </si>
  <si>
    <t>納品先名</t>
  </si>
  <si>
    <t>諸経費</t>
  </si>
  <si>
    <t>社員名</t>
  </si>
  <si>
    <t>積立金</t>
  </si>
  <si>
    <t>支給額</t>
  </si>
  <si>
    <t>部品Ｒ</t>
  </si>
  <si>
    <t>102B</t>
  </si>
  <si>
    <t>部品Ｓ</t>
  </si>
  <si>
    <t>部品Ｔ</t>
  </si>
  <si>
    <t>103A</t>
  </si>
  <si>
    <t>特別手当</t>
    <rPh sb="0" eb="2">
      <t>トクベツ</t>
    </rPh>
    <rPh sb="2" eb="4">
      <t>テアテ</t>
    </rPh>
    <phoneticPr fontId="1"/>
  </si>
  <si>
    <t>井上電機</t>
    <rPh sb="0" eb="2">
      <t>イノウエ</t>
    </rPh>
    <phoneticPr fontId="1"/>
  </si>
  <si>
    <t>関東金属</t>
    <rPh sb="1" eb="2">
      <t>ヒガシ</t>
    </rPh>
    <phoneticPr fontId="1"/>
  </si>
  <si>
    <t>ナカムラ</t>
    <phoneticPr fontId="1"/>
  </si>
  <si>
    <t>北山製作</t>
    <rPh sb="0" eb="2">
      <t>キタヤマ</t>
    </rPh>
    <rPh sb="2" eb="4">
      <t>セイサク</t>
    </rPh>
    <phoneticPr fontId="1"/>
  </si>
  <si>
    <t>ＹＫ精密</t>
    <phoneticPr fontId="1"/>
  </si>
  <si>
    <t>伊藤　英樹</t>
    <rPh sb="0" eb="2">
      <t>イトウ</t>
    </rPh>
    <rPh sb="3" eb="5">
      <t>ヒデキ</t>
    </rPh>
    <phoneticPr fontId="1"/>
  </si>
  <si>
    <t>加山　美佐</t>
    <rPh sb="0" eb="2">
      <t>カヤマ</t>
    </rPh>
    <rPh sb="3" eb="5">
      <t>ミサ</t>
    </rPh>
    <phoneticPr fontId="1"/>
  </si>
  <si>
    <t>久保田　勇</t>
    <rPh sb="0" eb="3">
      <t>クボタ</t>
    </rPh>
    <rPh sb="4" eb="5">
      <t>イサム</t>
    </rPh>
    <phoneticPr fontId="1"/>
  </si>
  <si>
    <t>森　ひとみ</t>
    <rPh sb="0" eb="1">
      <t>モリ</t>
    </rPh>
    <phoneticPr fontId="1"/>
  </si>
  <si>
    <t>＜社員テーブル＞</t>
    <phoneticPr fontId="1"/>
  </si>
  <si>
    <t>＜部品テーブル＞</t>
    <phoneticPr fontId="1"/>
  </si>
  <si>
    <t>＜納品先テーブル＞</t>
    <phoneticPr fontId="1"/>
  </si>
  <si>
    <t>社ＣＯ</t>
    <phoneticPr fontId="1"/>
  </si>
  <si>
    <t>区分</t>
    <rPh sb="0" eb="2">
      <t>クブン</t>
    </rPh>
    <phoneticPr fontId="1"/>
  </si>
  <si>
    <t>＜出来高単価テーブル＞</t>
    <rPh sb="1" eb="4">
      <t>デキダカ</t>
    </rPh>
    <rPh sb="4" eb="6">
      <t>タンカ</t>
    </rPh>
    <phoneticPr fontId="1"/>
  </si>
  <si>
    <t>納品数</t>
    <rPh sb="0" eb="3">
      <t>ノウヒンスウ</t>
    </rPh>
    <phoneticPr fontId="1"/>
  </si>
  <si>
    <t>製造原価</t>
    <rPh sb="0" eb="2">
      <t>セイゾウ</t>
    </rPh>
    <rPh sb="2" eb="4">
      <t>ゲンカ</t>
    </rPh>
    <phoneticPr fontId="1"/>
  </si>
  <si>
    <t>加工単価</t>
    <rPh sb="0" eb="2">
      <t>カコウ</t>
    </rPh>
    <rPh sb="2" eb="4">
      <t>タンカ</t>
    </rPh>
    <phoneticPr fontId="1"/>
  </si>
  <si>
    <t>＜加工賃率表＞</t>
    <rPh sb="1" eb="4">
      <t>カコウチン</t>
    </rPh>
    <rPh sb="4" eb="5">
      <t>リツ</t>
    </rPh>
    <rPh sb="5" eb="6">
      <t>ヒョウ</t>
    </rPh>
    <phoneticPr fontId="1"/>
  </si>
  <si>
    <t>加工賃率</t>
    <rPh sb="0" eb="3">
      <t>カコウチン</t>
    </rPh>
    <rPh sb="3" eb="4">
      <t>リツ</t>
    </rPh>
    <phoneticPr fontId="1"/>
  </si>
  <si>
    <t>社ＣＯ</t>
    <rPh sb="0" eb="1">
      <t>シャ</t>
    </rPh>
    <phoneticPr fontId="1"/>
  </si>
  <si>
    <t>作業日</t>
    <rPh sb="0" eb="3">
      <t>サギョウビ</t>
    </rPh>
    <phoneticPr fontId="1"/>
  </si>
  <si>
    <t>納品日</t>
    <rPh sb="0" eb="3">
      <t>ノウヒンビ</t>
    </rPh>
    <phoneticPr fontId="1"/>
  </si>
  <si>
    <t>納品数</t>
    <rPh sb="0" eb="2">
      <t>ノウヒン</t>
    </rPh>
    <rPh sb="2" eb="3">
      <t>スウ</t>
    </rPh>
    <phoneticPr fontId="1"/>
  </si>
  <si>
    <t>作業数</t>
    <rPh sb="0" eb="2">
      <t>サギョウ</t>
    </rPh>
    <rPh sb="2" eb="3">
      <t>スウ</t>
    </rPh>
    <phoneticPr fontId="1"/>
  </si>
  <si>
    <t>部品Ｒ</t>
    <rPh sb="0" eb="2">
      <t>ブヒン</t>
    </rPh>
    <phoneticPr fontId="1"/>
  </si>
  <si>
    <t>部品Ｓ</t>
    <rPh sb="0" eb="2">
      <t>ブヒン</t>
    </rPh>
    <phoneticPr fontId="1"/>
  </si>
  <si>
    <t>部品Ｔ</t>
    <rPh sb="0" eb="2">
      <t>ブヒン</t>
    </rPh>
    <phoneticPr fontId="1"/>
  </si>
  <si>
    <t>出来高</t>
    <rPh sb="0" eb="3">
      <t>デキダカ</t>
    </rPh>
    <phoneticPr fontId="1"/>
  </si>
  <si>
    <t>部品名</t>
    <rPh sb="0" eb="3">
      <t>ブヒンメイ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</si>
</sst>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%"/>
    <numFmt numFmtId="177" formatCode="#,##0.0;[Red]\-#,##0.0"/>
  </numFmts>
  <fonts count="6">
    <font>
      <sz val="11"/>
      <color theme="1"/>
      <name val="ＭＳ 明朝"/>
      <family val="2"/>
      <charset val="128"/>
    </font>
    <font>
      <sz val="6"/>
      <name val="ＭＳ 明朝"/>
      <family val="2"/>
      <charset val="128"/>
    </font>
    <font>
      <sz val="11"/>
      <color theme="1"/>
      <name val="ＭＳ 明朝"/>
      <family val="2"/>
      <charset val="128"/>
    </font>
    <font>
      <sz val="11"/>
      <color rgb="FFFF0000"/>
      <name val="ＭＳ 明朝"/>
      <family val="2"/>
      <charset val="128"/>
    </font>
    <font>
      <sz val="11"/>
      <name val="ＭＳ 明朝"/>
      <family val="1"/>
      <charset val="128"/>
    </font>
    <font>
      <sz val="11"/>
      <name val="ＭＳ 明朝"/>
      <family val="2"/>
      <charset val="128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58"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>
      <alignment vertical="center"/>
    </xf>
    <xf numFmtId="3" fontId="0" fillId="0" borderId="1" xfId="0" applyNumberFormat="1" applyBorder="1">
      <alignment vertical="center"/>
    </xf>
    <xf numFmtId="176" fontId="0" fillId="0" borderId="1" xfId="0" applyNumberFormat="1" applyBorder="1">
      <alignment vertical="center"/>
    </xf>
    <xf numFmtId="0" fontId="0" fillId="0" borderId="5" xfId="0" applyBorder="1">
      <alignment vertical="center"/>
    </xf>
    <xf numFmtId="3" fontId="0" fillId="0" borderId="6" xfId="0" applyNumberFormat="1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8" xfId="0" applyBorder="1" applyAlignment="1">
      <alignment horizontal="center" vertical="center"/>
    </xf>
    <xf numFmtId="3" fontId="0" fillId="0" borderId="8" xfId="0" applyNumberFormat="1" applyBorder="1">
      <alignment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>
      <alignment vertical="center"/>
    </xf>
    <xf numFmtId="3" fontId="0" fillId="0" borderId="9" xfId="0" applyNumberFormat="1" applyBorder="1">
      <alignment vertical="center"/>
    </xf>
    <xf numFmtId="0" fontId="0" fillId="0" borderId="12" xfId="0" applyBorder="1" applyAlignment="1">
      <alignment horizontal="center" vertical="center"/>
    </xf>
    <xf numFmtId="0" fontId="0" fillId="0" borderId="13" xfId="0" applyBorder="1">
      <alignment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>
      <alignment vertical="center"/>
    </xf>
    <xf numFmtId="0" fontId="4" fillId="0" borderId="1" xfId="0" applyFont="1" applyBorder="1">
      <alignment vertical="center"/>
    </xf>
    <xf numFmtId="0" fontId="3" fillId="0" borderId="0" xfId="0" applyFont="1">
      <alignment vertical="center"/>
    </xf>
    <xf numFmtId="3" fontId="5" fillId="0" borderId="1" xfId="0" applyNumberFormat="1" applyFont="1" applyBorder="1">
      <alignment vertical="center"/>
    </xf>
    <xf numFmtId="0" fontId="0" fillId="0" borderId="0" xfId="0" applyBorder="1">
      <alignment vertical="center"/>
    </xf>
    <xf numFmtId="177" fontId="0" fillId="0" borderId="1" xfId="1" applyNumberFormat="1" applyFont="1" applyBorder="1">
      <alignment vertical="center"/>
    </xf>
    <xf numFmtId="177" fontId="0" fillId="0" borderId="1" xfId="1" applyNumberFormat="1" applyFont="1" applyFill="1" applyBorder="1">
      <alignment vertical="center"/>
    </xf>
    <xf numFmtId="3" fontId="0" fillId="0" borderId="0" xfId="0" applyNumberFormat="1">
      <alignment vertical="center"/>
    </xf>
    <xf numFmtId="0" fontId="0" fillId="0" borderId="0" xfId="0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0" fillId="0" borderId="4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19" xfId="0" applyBorder="1" applyAlignment="1">
      <alignment vertical="center"/>
    </xf>
    <xf numFmtId="0" fontId="0" fillId="0" borderId="22" xfId="0" applyBorder="1" applyAlignment="1">
      <alignment vertical="center"/>
    </xf>
    <xf numFmtId="0" fontId="0" fillId="0" borderId="23" xfId="0" applyBorder="1" applyAlignment="1">
      <alignment vertical="center"/>
    </xf>
    <xf numFmtId="0" fontId="0" fillId="0" borderId="20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14" fontId="0" fillId="0" borderId="5" xfId="0" applyNumberFormat="1" applyFill="1" applyBorder="1">
      <alignment vertical="center"/>
    </xf>
    <xf numFmtId="0" fontId="0" fillId="0" borderId="1" xfId="0" applyFill="1" applyBorder="1">
      <alignment vertical="center"/>
    </xf>
    <xf numFmtId="0" fontId="5" fillId="0" borderId="1" xfId="0" applyFont="1" applyFill="1" applyBorder="1">
      <alignment vertical="center"/>
    </xf>
    <xf numFmtId="3" fontId="0" fillId="0" borderId="1" xfId="0" applyNumberFormat="1" applyFill="1" applyBorder="1">
      <alignment vertical="center"/>
    </xf>
    <xf numFmtId="0" fontId="0" fillId="0" borderId="6" xfId="0" applyFill="1" applyBorder="1">
      <alignment vertical="center"/>
    </xf>
    <xf numFmtId="14" fontId="0" fillId="0" borderId="7" xfId="0" applyNumberFormat="1" applyFill="1" applyBorder="1">
      <alignment vertical="center"/>
    </xf>
    <xf numFmtId="0" fontId="0" fillId="0" borderId="8" xfId="0" applyFill="1" applyBorder="1">
      <alignment vertical="center"/>
    </xf>
    <xf numFmtId="0" fontId="5" fillId="0" borderId="8" xfId="0" applyFont="1" applyFill="1" applyBorder="1">
      <alignment vertical="center"/>
    </xf>
    <xf numFmtId="3" fontId="0" fillId="0" borderId="8" xfId="0" applyNumberFormat="1" applyFill="1" applyBorder="1">
      <alignment vertical="center"/>
    </xf>
    <xf numFmtId="0" fontId="0" fillId="0" borderId="9" xfId="0" applyFill="1" applyBorder="1">
      <alignment vertical="center"/>
    </xf>
    <xf numFmtId="0" fontId="0" fillId="0" borderId="2" xfId="0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3" fontId="0" fillId="0" borderId="6" xfId="0" applyNumberFormat="1" applyFill="1" applyBorder="1">
      <alignment vertical="center"/>
    </xf>
    <xf numFmtId="3" fontId="0" fillId="0" borderId="9" xfId="0" applyNumberFormat="1" applyFill="1" applyBorder="1">
      <alignment vertical="center"/>
    </xf>
    <xf numFmtId="0" fontId="0" fillId="0" borderId="1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" xfId="0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chemeClr val="tx1"/>
                </a:solidFill>
                <a:latin typeface="ＭＳ 明朝" panose="02020609040205080304" pitchFamily="17" charset="-128"/>
                <a:ea typeface="ＭＳ 明朝" panose="02020609040205080304" pitchFamily="17" charset="-128"/>
                <a:cs typeface="+mn-cs"/>
              </a:defRPr>
            </a:pPr>
            <a:r>
              <a:rPr lang="ja-JP" altLang="en-US"/>
              <a:t>納品先別の比較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spc="0" baseline="0">
              <a:solidFill>
                <a:schemeClr val="tx1"/>
              </a:solidFill>
              <a:latin typeface="ＭＳ 明朝" panose="02020609040205080304" pitchFamily="17" charset="-128"/>
              <a:ea typeface="ＭＳ 明朝" panose="02020609040205080304" pitchFamily="17" charset="-128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計算表!$F$2</c:f>
              <c:strCache>
                <c:ptCount val="1"/>
                <c:pt idx="0">
                  <c:v>請求額</c:v>
                </c:pt>
              </c:strCache>
            </c:strRef>
          </c:tx>
          <c:spPr>
            <a:solidFill>
              <a:srgbClr val="B3B3B3"/>
            </a:solidFill>
            <a:ln>
              <a:solidFill>
                <a:schemeClr val="tx1"/>
              </a:solidFill>
            </a:ln>
            <a:effectLst/>
          </c:spPr>
          <c:invertIfNegative val="0"/>
          <c:cat>
            <c:strRef>
              <c:f>計算表!$B$3:$B$7</c:f>
              <c:strCache>
                <c:ptCount val="5"/>
                <c:pt idx="0">
                  <c:v>ＹＫ精密</c:v>
                </c:pt>
                <c:pt idx="1">
                  <c:v>ナカムラ</c:v>
                </c:pt>
                <c:pt idx="2">
                  <c:v>関東金属</c:v>
                </c:pt>
                <c:pt idx="3">
                  <c:v>北山製作</c:v>
                </c:pt>
                <c:pt idx="4">
                  <c:v>井上電機</c:v>
                </c:pt>
              </c:strCache>
            </c:strRef>
          </c:cat>
          <c:val>
            <c:numRef>
              <c:f>計算表!$F$3:$F$7</c:f>
              <c:numCache>
                <c:formatCode>#,##0</c:formatCode>
                <c:ptCount val="5"/>
                <c:pt idx="0">
                  <c:v>1138694</c:v>
                </c:pt>
                <c:pt idx="1">
                  <c:v>1009600</c:v>
                </c:pt>
                <c:pt idx="2">
                  <c:v>899942</c:v>
                </c:pt>
                <c:pt idx="3">
                  <c:v>654858</c:v>
                </c:pt>
                <c:pt idx="4">
                  <c:v>655389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995-4473-89AF-9CFC0F5120E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94341504"/>
        <c:axId val="1135980704"/>
      </c:barChart>
      <c:lineChart>
        <c:grouping val="standard"/>
        <c:varyColors val="0"/>
        <c:ser>
          <c:idx val="1"/>
          <c:order val="1"/>
          <c:tx>
            <c:strRef>
              <c:f>計算表!$C$2</c:f>
              <c:strCache>
                <c:ptCount val="1"/>
                <c:pt idx="0">
                  <c:v>納品数</c:v>
                </c:pt>
              </c:strCache>
            </c:strRef>
          </c:tx>
          <c:spPr>
            <a:ln w="28575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ysClr val="windowText" lastClr="000000"/>
              </a:solidFill>
              <a:ln w="9525">
                <a:solidFill>
                  <a:sysClr val="windowText" lastClr="000000"/>
                </a:solidFill>
              </a:ln>
              <a:effectLst/>
            </c:spPr>
          </c:marker>
          <c:cat>
            <c:strRef>
              <c:f>計算表!$B$3:$B$7</c:f>
              <c:strCache>
                <c:ptCount val="5"/>
                <c:pt idx="0">
                  <c:v>ＹＫ精密</c:v>
                </c:pt>
                <c:pt idx="1">
                  <c:v>ナカムラ</c:v>
                </c:pt>
                <c:pt idx="2">
                  <c:v>関東金属</c:v>
                </c:pt>
                <c:pt idx="3">
                  <c:v>北山製作</c:v>
                </c:pt>
                <c:pt idx="4">
                  <c:v>井上電機</c:v>
                </c:pt>
              </c:strCache>
            </c:strRef>
          </c:cat>
          <c:val>
            <c:numRef>
              <c:f>計算表!$C$3:$C$7</c:f>
              <c:numCache>
                <c:formatCode>#,##0</c:formatCode>
                <c:ptCount val="5"/>
                <c:pt idx="0">
                  <c:v>6783</c:v>
                </c:pt>
                <c:pt idx="1">
                  <c:v>6003</c:v>
                </c:pt>
                <c:pt idx="2">
                  <c:v>5378</c:v>
                </c:pt>
                <c:pt idx="3">
                  <c:v>4160</c:v>
                </c:pt>
                <c:pt idx="4">
                  <c:v>3930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995-4473-89AF-9CFC0F5120E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64385352"/>
        <c:axId val="464387976"/>
      </c:lineChart>
      <c:catAx>
        <c:axId val="4643853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ＭＳ 明朝" panose="02020609040205080304" pitchFamily="17" charset="-128"/>
                <a:ea typeface="ＭＳ 明朝" panose="02020609040205080304" pitchFamily="17" charset="-128"/>
                <a:cs typeface="+mn-cs"/>
              </a:defRPr>
            </a:pPr>
            <a:endParaRPr lang="ja-JP"/>
          </a:p>
        </c:txPr>
        <c:crossAx val="464387976"/>
        <c:crosses val="autoZero"/>
        <c:auto val="1"/>
        <c:lblAlgn val="ctr"/>
        <c:lblOffset val="100"/>
        <c:noMultiLvlLbl val="0"/>
      </c:catAx>
      <c:valAx>
        <c:axId val="464387976"/>
        <c:scaling>
          <c:orientation val="minMax"/>
        </c:scaling>
        <c:delete val="0"/>
        <c:axPos val="l"/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ＭＳ 明朝" panose="02020609040205080304" pitchFamily="17" charset="-128"/>
                <a:ea typeface="ＭＳ 明朝" panose="02020609040205080304" pitchFamily="17" charset="-128"/>
                <a:cs typeface="+mn-cs"/>
              </a:defRPr>
            </a:pPr>
            <a:endParaRPr lang="ja-JP"/>
          </a:p>
        </c:txPr>
        <c:crossAx val="464385352"/>
        <c:crosses val="autoZero"/>
        <c:crossBetween val="between"/>
      </c:valAx>
      <c:valAx>
        <c:axId val="1135980704"/>
        <c:scaling>
          <c:orientation val="minMax"/>
        </c:scaling>
        <c:delete val="0"/>
        <c:axPos val="r"/>
        <c:numFmt formatCode="#,##0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/>
                </a:solidFill>
                <a:latin typeface="ＭＳ 明朝" panose="02020609040205080304" pitchFamily="17" charset="-128"/>
                <a:ea typeface="ＭＳ 明朝" panose="02020609040205080304" pitchFamily="17" charset="-128"/>
                <a:cs typeface="+mn-cs"/>
              </a:defRPr>
            </a:pPr>
            <a:endParaRPr lang="ja-JP"/>
          </a:p>
        </c:txPr>
        <c:crossAx val="794341504"/>
        <c:crosses val="max"/>
        <c:crossBetween val="between"/>
      </c:valAx>
      <c:catAx>
        <c:axId val="79434150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135980704"/>
        <c:crosses val="autoZero"/>
        <c:auto val="1"/>
        <c:lblAlgn val="ctr"/>
        <c:lblOffset val="100"/>
        <c:noMultiLvlLbl val="0"/>
      </c:catAx>
      <c:spPr>
        <a:solidFill>
          <a:schemeClr val="lt1"/>
        </a:solidFill>
        <a:ln>
          <a:solidFill>
            <a:schemeClr val="dk1"/>
          </a:solidFill>
        </a:ln>
        <a:effectLst/>
      </c:spPr>
    </c:plotArea>
    <c:legend>
      <c:legendPos val="r"/>
      <c:overlay val="0"/>
      <c:spPr>
        <a:solidFill>
          <a:schemeClr val="lt1"/>
        </a:solidFill>
        <a:ln w="12700" cap="flat" cmpd="sng" algn="ctr">
          <a:solidFill>
            <a:schemeClr val="dk1"/>
          </a:solidFill>
          <a:prstDash val="solid"/>
          <a:miter lim="800000"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/>
              </a:solidFill>
              <a:latin typeface="ＭＳ 明朝" panose="02020609040205080304" pitchFamily="17" charset="-128"/>
              <a:ea typeface="ＭＳ 明朝" panose="02020609040205080304" pitchFamily="17" charset="-128"/>
              <a:cs typeface="+mn-cs"/>
            </a:defRPr>
          </a:pPr>
          <a:endParaRPr lang="ja-JP"/>
        </a:p>
      </c:txPr>
    </c:legend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 sz="1050">
          <a:solidFill>
            <a:schemeClr val="tx1"/>
          </a:solidFill>
          <a:latin typeface="ＭＳ 明朝" panose="02020609040205080304" pitchFamily="17" charset="-128"/>
          <a:ea typeface="ＭＳ 明朝" panose="02020609040205080304" pitchFamily="17" charset="-128"/>
        </a:defRPr>
      </a:pPr>
      <a:endParaRPr lang="ja-JP"/>
    </a:p>
  </c:txPr>
  <c:printSettings>
    <c:headerFooter/>
    <c:pageMargins b="0.75" l="0.7" r="0.7" t="0.75" header="0.3" footer="0.3"/>
    <c:pageSetup orientation="portrait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20">
  <a:schemeClr val="dk1"/>
  <cs:variation>
    <a:tint val="88500"/>
  </cs:variation>
  <cs:variation>
    <a:tint val="55000"/>
  </cs:variation>
  <cs:variation>
    <a:tint val="75000"/>
  </cs:variation>
  <cs:variation>
    <a:tint val="98500"/>
  </cs:variation>
  <cs:variation>
    <a:tint val="30000"/>
  </cs:variation>
  <cs:variation>
    <a:tint val="60000"/>
  </cs:variation>
  <cs:variation>
    <a:tint val="80000"/>
  </cs:variation>
</cs:colorStyle>
</file>

<file path=xl/charts/style1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28575</xdr:colOff>
      <xdr:row>14</xdr:row>
      <xdr:rowOff>23812</xdr:rowOff>
    </xdr:from>
    <xdr:to>
      <xdr:col>9</xdr:col>
      <xdr:colOff>552450</xdr:colOff>
      <xdr:row>29</xdr:row>
      <xdr:rowOff>157162</xdr:rowOff>
    </xdr:to>
    <xdr:graphicFrame macro="">
      <xdr:nvGraphicFramePr>
        <xdr:cNvPr id="4" name="グラフ 3">
          <a:extLst>
            <a:ext uri="{FF2B5EF4-FFF2-40B4-BE49-F238E27FC236}">
              <a16:creationId xmlns:a16="http://schemas.microsoft.com/office/drawing/2014/main" id="{C3E49455-A113-4F0C-A5E4-6A0FE7F7DD4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7"/>
  <sheetViews>
    <sheetView tabSelected="1" zoomScaleNormal="100" workbookViewId="0"/>
  </sheetViews>
  <sheetFormatPr defaultRowHeight="13.5"/>
  <cols>
    <col min="1" max="1" width="7.5" customWidth="1"/>
    <col min="2" max="2" width="7.5" bestFit="1" customWidth="1"/>
    <col min="3" max="3" width="9.5" bestFit="1" customWidth="1"/>
    <col min="4" max="4" width="5.625" customWidth="1"/>
    <col min="5" max="5" width="7.5" bestFit="1" customWidth="1"/>
    <col min="6" max="6" width="9.5" customWidth="1"/>
    <col min="7" max="7" width="5.625" customWidth="1"/>
    <col min="8" max="8" width="5.5" bestFit="1" customWidth="1"/>
    <col min="9" max="11" width="7.5" bestFit="1" customWidth="1"/>
    <col min="12" max="12" width="5.625" customWidth="1"/>
    <col min="13" max="13" width="7.5" customWidth="1"/>
    <col min="14" max="14" width="9.5" bestFit="1" customWidth="1"/>
    <col min="15" max="15" width="5.625" customWidth="1"/>
    <col min="16" max="16" width="7.5" bestFit="1" customWidth="1"/>
    <col min="17" max="17" width="11.625" bestFit="1" customWidth="1"/>
    <col min="19" max="19" width="5.5" bestFit="1" customWidth="1"/>
    <col min="20" max="22" width="7.5" bestFit="1" customWidth="1"/>
  </cols>
  <sheetData>
    <row r="1" spans="1:17">
      <c r="A1" t="s">
        <v>35</v>
      </c>
      <c r="E1" t="s">
        <v>43</v>
      </c>
      <c r="H1" t="s">
        <v>39</v>
      </c>
      <c r="M1" t="s">
        <v>36</v>
      </c>
      <c r="P1" t="s">
        <v>34</v>
      </c>
    </row>
    <row r="2" spans="1:17">
      <c r="A2" s="1" t="s">
        <v>10</v>
      </c>
      <c r="B2" s="1" t="s">
        <v>13</v>
      </c>
      <c r="C2" s="1" t="s">
        <v>41</v>
      </c>
      <c r="D2" s="25"/>
      <c r="E2" s="1" t="s">
        <v>40</v>
      </c>
      <c r="F2" s="1" t="s">
        <v>44</v>
      </c>
      <c r="G2" s="25"/>
      <c r="H2" s="52" t="s">
        <v>38</v>
      </c>
      <c r="I2" s="53" t="s">
        <v>54</v>
      </c>
      <c r="J2" s="54"/>
      <c r="K2" s="55"/>
      <c r="M2" s="1" t="s">
        <v>11</v>
      </c>
      <c r="N2" s="1" t="s">
        <v>14</v>
      </c>
      <c r="P2" s="1" t="s">
        <v>37</v>
      </c>
      <c r="Q2" s="1" t="s">
        <v>16</v>
      </c>
    </row>
    <row r="3" spans="1:17">
      <c r="A3" s="2">
        <v>1001</v>
      </c>
      <c r="B3" s="2" t="s">
        <v>19</v>
      </c>
      <c r="C3" s="2">
        <v>148</v>
      </c>
      <c r="D3" s="21"/>
      <c r="E3" s="3">
        <v>1</v>
      </c>
      <c r="F3" s="4">
        <v>5.7000000000000002E-2</v>
      </c>
      <c r="G3" s="21"/>
      <c r="H3" s="52"/>
      <c r="I3" s="1" t="s">
        <v>19</v>
      </c>
      <c r="J3" s="1" t="s">
        <v>21</v>
      </c>
      <c r="K3" s="1" t="s">
        <v>22</v>
      </c>
      <c r="L3" s="21"/>
      <c r="M3" s="2">
        <v>11</v>
      </c>
      <c r="N3" s="2" t="s">
        <v>25</v>
      </c>
      <c r="P3" s="2" t="s">
        <v>1</v>
      </c>
      <c r="Q3" s="18" t="s">
        <v>30</v>
      </c>
    </row>
    <row r="4" spans="1:17">
      <c r="A4" s="2">
        <v>1002</v>
      </c>
      <c r="B4" s="2" t="s">
        <v>21</v>
      </c>
      <c r="C4" s="2">
        <v>161</v>
      </c>
      <c r="D4" s="21"/>
      <c r="E4" s="3">
        <v>700</v>
      </c>
      <c r="F4" s="4">
        <v>4.9000000000000002E-2</v>
      </c>
      <c r="G4" s="21"/>
      <c r="H4" s="27" t="s">
        <v>4</v>
      </c>
      <c r="I4" s="22">
        <v>30.200000000000003</v>
      </c>
      <c r="J4" s="22">
        <v>35.5</v>
      </c>
      <c r="K4" s="22">
        <v>30.6</v>
      </c>
      <c r="L4" s="21"/>
      <c r="M4" s="2">
        <v>12</v>
      </c>
      <c r="N4" s="2" t="s">
        <v>26</v>
      </c>
      <c r="P4" s="2" t="s">
        <v>20</v>
      </c>
      <c r="Q4" s="18" t="s">
        <v>31</v>
      </c>
    </row>
    <row r="5" spans="1:17">
      <c r="A5" s="2">
        <v>1003</v>
      </c>
      <c r="B5" s="2" t="s">
        <v>22</v>
      </c>
      <c r="C5" s="2">
        <v>137</v>
      </c>
      <c r="D5" s="21"/>
      <c r="E5" s="3">
        <v>900</v>
      </c>
      <c r="F5" s="4">
        <v>3.7999999999999999E-2</v>
      </c>
      <c r="G5" s="21"/>
      <c r="H5" s="27" t="s">
        <v>5</v>
      </c>
      <c r="I5" s="23">
        <v>31.6</v>
      </c>
      <c r="J5" s="22">
        <v>37.1</v>
      </c>
      <c r="K5" s="22">
        <v>32</v>
      </c>
      <c r="L5" s="21"/>
      <c r="M5" s="2">
        <v>13</v>
      </c>
      <c r="N5" s="2" t="s">
        <v>27</v>
      </c>
      <c r="P5" s="2" t="s">
        <v>23</v>
      </c>
      <c r="Q5" s="18" t="s">
        <v>32</v>
      </c>
    </row>
    <row r="6" spans="1:17">
      <c r="H6" s="27" t="s">
        <v>6</v>
      </c>
      <c r="I6" s="22">
        <v>32.9</v>
      </c>
      <c r="J6" s="22">
        <v>38.700000000000003</v>
      </c>
      <c r="K6" s="22">
        <v>33.4</v>
      </c>
      <c r="L6" s="21"/>
      <c r="M6" s="2">
        <v>14</v>
      </c>
      <c r="N6" s="2" t="s">
        <v>28</v>
      </c>
      <c r="P6" s="2" t="s">
        <v>2</v>
      </c>
      <c r="Q6" s="18" t="s">
        <v>33</v>
      </c>
    </row>
    <row r="7" spans="1:17">
      <c r="L7" s="21"/>
      <c r="M7" s="2">
        <v>15</v>
      </c>
      <c r="N7" s="2" t="s">
        <v>29</v>
      </c>
    </row>
  </sheetData>
  <mergeCells count="2">
    <mergeCell ref="H2:H3"/>
    <mergeCell ref="I2:K2"/>
  </mergeCells>
  <phoneticPr fontId="1"/>
  <printOptions headings="1"/>
  <pageMargins left="0.70866141732283472" right="0.70866141732283472" top="0.74803149606299213" bottom="0.74803149606299213" header="0.31496062992125984" footer="0.31496062992125984"/>
  <pageSetup paperSize="9" orientation="landscape" horizontalDpi="1200" verticalDpi="1200" r:id="rId1"/>
  <headerFooter>
    <oddHeader>&amp;C&amp;F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6EFEB8-2E50-46B2-AA88-3F70F7DE8F68}">
  <dimension ref="A1:E40"/>
  <sheetViews>
    <sheetView workbookViewId="0"/>
  </sheetViews>
  <sheetFormatPr defaultRowHeight="13.5"/>
  <cols>
    <col min="1" max="1" width="10.5" bestFit="1" customWidth="1"/>
    <col min="2" max="4" width="7.5" bestFit="1" customWidth="1"/>
    <col min="5" max="5" width="9.5" bestFit="1" customWidth="1"/>
  </cols>
  <sheetData>
    <row r="1" spans="1:5">
      <c r="A1" s="48" t="s">
        <v>47</v>
      </c>
      <c r="B1" s="49" t="s">
        <v>11</v>
      </c>
      <c r="C1" s="49" t="s">
        <v>10</v>
      </c>
      <c r="D1" s="49" t="s">
        <v>40</v>
      </c>
      <c r="E1" s="26" t="s">
        <v>42</v>
      </c>
    </row>
    <row r="2" spans="1:5">
      <c r="A2" s="38">
        <v>44449</v>
      </c>
      <c r="B2" s="39">
        <v>12</v>
      </c>
      <c r="C2" s="39">
        <v>1001</v>
      </c>
      <c r="D2" s="41">
        <v>549</v>
      </c>
      <c r="E2" s="42">
        <f>ROUNDDOWN(VLOOKUP(C2,テーブル!$A$3:$C$5,3,0)*(1+VLOOKUP(D2,テーブル!$E$3:$F$5,2,1)),0)</f>
        <v>156</v>
      </c>
    </row>
    <row r="3" spans="1:5">
      <c r="A3" s="38">
        <v>44449</v>
      </c>
      <c r="B3" s="39">
        <v>13</v>
      </c>
      <c r="C3" s="40">
        <v>1001</v>
      </c>
      <c r="D3" s="41">
        <v>357</v>
      </c>
      <c r="E3" s="42">
        <f>ROUNDDOWN(VLOOKUP(C3,テーブル!$A$3:$C$5,3,0)*(1+VLOOKUP(D3,テーブル!$E$3:$F$5,2,1)),0)</f>
        <v>156</v>
      </c>
    </row>
    <row r="4" spans="1:5">
      <c r="A4" s="38">
        <v>44449</v>
      </c>
      <c r="B4" s="39">
        <v>14</v>
      </c>
      <c r="C4" s="40">
        <v>1001</v>
      </c>
      <c r="D4" s="41">
        <v>712</v>
      </c>
      <c r="E4" s="42">
        <f>ROUNDDOWN(VLOOKUP(C4,テーブル!$A$3:$C$5,3,0)*(1+VLOOKUP(D4,テーブル!$E$3:$F$5,2,1)),0)</f>
        <v>155</v>
      </c>
    </row>
    <row r="5" spans="1:5">
      <c r="A5" s="38">
        <v>44449</v>
      </c>
      <c r="B5" s="39">
        <v>15</v>
      </c>
      <c r="C5" s="39">
        <v>1001</v>
      </c>
      <c r="D5" s="41">
        <v>943</v>
      </c>
      <c r="E5" s="42">
        <f>ROUNDDOWN(VLOOKUP(C5,テーブル!$A$3:$C$5,3,0)*(1+VLOOKUP(D5,テーブル!$E$3:$F$5,2,1)),0)</f>
        <v>153</v>
      </c>
    </row>
    <row r="6" spans="1:5">
      <c r="A6" s="38">
        <v>44459</v>
      </c>
      <c r="B6" s="39">
        <v>12</v>
      </c>
      <c r="C6" s="39">
        <v>1001</v>
      </c>
      <c r="D6" s="41">
        <v>685</v>
      </c>
      <c r="E6" s="42">
        <f>ROUNDDOWN(VLOOKUP(C6,テーブル!$A$3:$C$5,3,0)*(1+VLOOKUP(D6,テーブル!$E$3:$F$5,2,1)),0)</f>
        <v>156</v>
      </c>
    </row>
    <row r="7" spans="1:5">
      <c r="A7" s="38">
        <v>44459</v>
      </c>
      <c r="B7" s="39">
        <v>13</v>
      </c>
      <c r="C7" s="40">
        <v>1001</v>
      </c>
      <c r="D7" s="41">
        <v>721</v>
      </c>
      <c r="E7" s="42">
        <f>ROUNDDOWN(VLOOKUP(C7,テーブル!$A$3:$C$5,3,0)*(1+VLOOKUP(D7,テーブル!$E$3:$F$5,2,1)),0)</f>
        <v>155</v>
      </c>
    </row>
    <row r="8" spans="1:5">
      <c r="A8" s="38">
        <v>44459</v>
      </c>
      <c r="B8" s="39">
        <v>14</v>
      </c>
      <c r="C8" s="40">
        <v>1001</v>
      </c>
      <c r="D8" s="41">
        <v>599</v>
      </c>
      <c r="E8" s="42">
        <f>ROUNDDOWN(VLOOKUP(C8,テーブル!$A$3:$C$5,3,0)*(1+VLOOKUP(D8,テーブル!$E$3:$F$5,2,1)),0)</f>
        <v>156</v>
      </c>
    </row>
    <row r="9" spans="1:5">
      <c r="A9" s="38">
        <v>44459</v>
      </c>
      <c r="B9" s="39">
        <v>15</v>
      </c>
      <c r="C9" s="39">
        <v>1001</v>
      </c>
      <c r="D9" s="41">
        <v>1206</v>
      </c>
      <c r="E9" s="42">
        <f>ROUNDDOWN(VLOOKUP(C9,テーブル!$A$3:$C$5,3,0)*(1+VLOOKUP(D9,テーブル!$E$3:$F$5,2,1)),0)</f>
        <v>153</v>
      </c>
    </row>
    <row r="10" spans="1:5">
      <c r="A10" s="38">
        <v>44470</v>
      </c>
      <c r="B10" s="39">
        <v>12</v>
      </c>
      <c r="C10" s="39">
        <v>1001</v>
      </c>
      <c r="D10" s="41">
        <v>836</v>
      </c>
      <c r="E10" s="42">
        <f>ROUNDDOWN(VLOOKUP(C10,テーブル!$A$3:$C$5,3,0)*(1+VLOOKUP(D10,テーブル!$E$3:$F$5,2,1)),0)</f>
        <v>155</v>
      </c>
    </row>
    <row r="11" spans="1:5">
      <c r="A11" s="38">
        <v>44470</v>
      </c>
      <c r="B11" s="39">
        <v>13</v>
      </c>
      <c r="C11" s="40">
        <v>1001</v>
      </c>
      <c r="D11" s="41">
        <v>505</v>
      </c>
      <c r="E11" s="42">
        <f>ROUNDDOWN(VLOOKUP(C11,テーブル!$A$3:$C$5,3,0)*(1+VLOOKUP(D11,テーブル!$E$3:$F$5,2,1)),0)</f>
        <v>156</v>
      </c>
    </row>
    <row r="12" spans="1:5">
      <c r="A12" s="38">
        <v>44470</v>
      </c>
      <c r="B12" s="39">
        <v>14</v>
      </c>
      <c r="C12" s="40">
        <v>1001</v>
      </c>
      <c r="D12" s="41">
        <v>702</v>
      </c>
      <c r="E12" s="42">
        <f>ROUNDDOWN(VLOOKUP(C12,テーブル!$A$3:$C$5,3,0)*(1+VLOOKUP(D12,テーブル!$E$3:$F$5,2,1)),0)</f>
        <v>155</v>
      </c>
    </row>
    <row r="13" spans="1:5">
      <c r="A13" s="38">
        <v>44470</v>
      </c>
      <c r="B13" s="39">
        <v>15</v>
      </c>
      <c r="C13" s="39">
        <v>1001</v>
      </c>
      <c r="D13" s="41">
        <v>637</v>
      </c>
      <c r="E13" s="42">
        <f>ROUNDDOWN(VLOOKUP(C13,テーブル!$A$3:$C$5,3,0)*(1+VLOOKUP(D13,テーブル!$E$3:$F$5,2,1)),0)</f>
        <v>156</v>
      </c>
    </row>
    <row r="14" spans="1:5">
      <c r="A14" s="38">
        <v>44449</v>
      </c>
      <c r="B14" s="39">
        <v>11</v>
      </c>
      <c r="C14" s="40">
        <v>1002</v>
      </c>
      <c r="D14" s="41">
        <v>1019</v>
      </c>
      <c r="E14" s="42">
        <f>ROUNDDOWN(VLOOKUP(C14,テーブル!$A$3:$C$5,3,0)*(1+VLOOKUP(D14,テーブル!$E$3:$F$5,2,1)),0)</f>
        <v>167</v>
      </c>
    </row>
    <row r="15" spans="1:5">
      <c r="A15" s="38">
        <v>44449</v>
      </c>
      <c r="B15" s="39">
        <v>12</v>
      </c>
      <c r="C15" s="39">
        <v>1002</v>
      </c>
      <c r="D15" s="41">
        <v>863</v>
      </c>
      <c r="E15" s="42">
        <f>ROUNDDOWN(VLOOKUP(C15,テーブル!$A$3:$C$5,3,0)*(1+VLOOKUP(D15,テーブル!$E$3:$F$5,2,1)),0)</f>
        <v>168</v>
      </c>
    </row>
    <row r="16" spans="1:5">
      <c r="A16" s="38">
        <v>44449</v>
      </c>
      <c r="B16" s="39">
        <v>13</v>
      </c>
      <c r="C16" s="40">
        <v>1002</v>
      </c>
      <c r="D16" s="41">
        <v>1082</v>
      </c>
      <c r="E16" s="42">
        <f>ROUNDDOWN(VLOOKUP(C16,テーブル!$A$3:$C$5,3,0)*(1+VLOOKUP(D16,テーブル!$E$3:$F$5,2,1)),0)</f>
        <v>167</v>
      </c>
    </row>
    <row r="17" spans="1:5">
      <c r="A17" s="38">
        <v>44449</v>
      </c>
      <c r="B17" s="39">
        <v>15</v>
      </c>
      <c r="C17" s="39">
        <v>1002</v>
      </c>
      <c r="D17" s="41">
        <v>1119</v>
      </c>
      <c r="E17" s="42">
        <f>ROUNDDOWN(VLOOKUP(C17,テーブル!$A$3:$C$5,3,0)*(1+VLOOKUP(D17,テーブル!$E$3:$F$5,2,1)),0)</f>
        <v>167</v>
      </c>
    </row>
    <row r="18" spans="1:5">
      <c r="A18" s="38">
        <v>44459</v>
      </c>
      <c r="B18" s="39">
        <v>11</v>
      </c>
      <c r="C18" s="40">
        <v>1002</v>
      </c>
      <c r="D18" s="41">
        <v>346</v>
      </c>
      <c r="E18" s="42">
        <f>ROUNDDOWN(VLOOKUP(C18,テーブル!$A$3:$C$5,3,0)*(1+VLOOKUP(D18,テーブル!$E$3:$F$5,2,1)),0)</f>
        <v>170</v>
      </c>
    </row>
    <row r="19" spans="1:5">
      <c r="A19" s="38">
        <v>44459</v>
      </c>
      <c r="B19" s="39">
        <v>12</v>
      </c>
      <c r="C19" s="39">
        <v>1002</v>
      </c>
      <c r="D19" s="41">
        <v>702</v>
      </c>
      <c r="E19" s="42">
        <f>ROUNDDOWN(VLOOKUP(C19,テーブル!$A$3:$C$5,3,0)*(1+VLOOKUP(D19,テーブル!$E$3:$F$5,2,1)),0)</f>
        <v>168</v>
      </c>
    </row>
    <row r="20" spans="1:5">
      <c r="A20" s="38">
        <v>44459</v>
      </c>
      <c r="B20" s="39">
        <v>13</v>
      </c>
      <c r="C20" s="40">
        <v>1002</v>
      </c>
      <c r="D20" s="41">
        <v>847</v>
      </c>
      <c r="E20" s="42">
        <f>ROUNDDOWN(VLOOKUP(C20,テーブル!$A$3:$C$5,3,0)*(1+VLOOKUP(D20,テーブル!$E$3:$F$5,2,1)),0)</f>
        <v>168</v>
      </c>
    </row>
    <row r="21" spans="1:5">
      <c r="A21" s="38">
        <v>44459</v>
      </c>
      <c r="B21" s="39">
        <v>15</v>
      </c>
      <c r="C21" s="39">
        <v>1002</v>
      </c>
      <c r="D21" s="41">
        <v>529</v>
      </c>
      <c r="E21" s="42">
        <f>ROUNDDOWN(VLOOKUP(C21,テーブル!$A$3:$C$5,3,0)*(1+VLOOKUP(D21,テーブル!$E$3:$F$5,2,1)),0)</f>
        <v>170</v>
      </c>
    </row>
    <row r="22" spans="1:5">
      <c r="A22" s="38">
        <v>44470</v>
      </c>
      <c r="B22" s="39">
        <v>11</v>
      </c>
      <c r="C22" s="40">
        <v>1002</v>
      </c>
      <c r="D22" s="41">
        <v>900</v>
      </c>
      <c r="E22" s="42">
        <f>ROUNDDOWN(VLOOKUP(C22,テーブル!$A$3:$C$5,3,0)*(1+VLOOKUP(D22,テーブル!$E$3:$F$5,2,1)),0)</f>
        <v>167</v>
      </c>
    </row>
    <row r="23" spans="1:5">
      <c r="A23" s="38">
        <v>44470</v>
      </c>
      <c r="B23" s="39">
        <v>12</v>
      </c>
      <c r="C23" s="39">
        <v>1002</v>
      </c>
      <c r="D23" s="41">
        <v>529</v>
      </c>
      <c r="E23" s="42">
        <f>ROUNDDOWN(VLOOKUP(C23,テーブル!$A$3:$C$5,3,0)*(1+VLOOKUP(D23,テーブル!$E$3:$F$5,2,1)),0)</f>
        <v>170</v>
      </c>
    </row>
    <row r="24" spans="1:5">
      <c r="A24" s="38">
        <v>44470</v>
      </c>
      <c r="B24" s="39">
        <v>13</v>
      </c>
      <c r="C24" s="40">
        <v>1002</v>
      </c>
      <c r="D24" s="41">
        <v>717</v>
      </c>
      <c r="E24" s="42">
        <f>ROUNDDOWN(VLOOKUP(C24,テーブル!$A$3:$C$5,3,0)*(1+VLOOKUP(D24,テーブル!$E$3:$F$5,2,1)),0)</f>
        <v>168</v>
      </c>
    </row>
    <row r="25" spans="1:5">
      <c r="A25" s="38">
        <v>44470</v>
      </c>
      <c r="B25" s="39">
        <v>15</v>
      </c>
      <c r="C25" s="39">
        <v>1002</v>
      </c>
      <c r="D25" s="41">
        <v>912</v>
      </c>
      <c r="E25" s="42">
        <f>ROUNDDOWN(VLOOKUP(C25,テーブル!$A$3:$C$5,3,0)*(1+VLOOKUP(D25,テーブル!$E$3:$F$5,2,1)),0)</f>
        <v>167</v>
      </c>
    </row>
    <row r="26" spans="1:5">
      <c r="A26" s="38">
        <v>44449</v>
      </c>
      <c r="B26" s="39">
        <v>11</v>
      </c>
      <c r="C26" s="40">
        <v>1003</v>
      </c>
      <c r="D26" s="41">
        <v>430</v>
      </c>
      <c r="E26" s="42">
        <f>ROUNDDOWN(VLOOKUP(C26,テーブル!$A$3:$C$5,3,0)*(1+VLOOKUP(D26,テーブル!$E$3:$F$5,2,1)),0)</f>
        <v>144</v>
      </c>
    </row>
    <row r="27" spans="1:5">
      <c r="A27" s="38">
        <v>44449</v>
      </c>
      <c r="B27" s="39">
        <v>12</v>
      </c>
      <c r="C27" s="40">
        <v>1003</v>
      </c>
      <c r="D27" s="41">
        <v>748</v>
      </c>
      <c r="E27" s="42">
        <f>ROUNDDOWN(VLOOKUP(C27,テーブル!$A$3:$C$5,3,0)*(1+VLOOKUP(D27,テーブル!$E$3:$F$5,2,1)),0)</f>
        <v>143</v>
      </c>
    </row>
    <row r="28" spans="1:5">
      <c r="A28" s="38">
        <v>44449</v>
      </c>
      <c r="B28" s="39">
        <v>13</v>
      </c>
      <c r="C28" s="40">
        <v>1003</v>
      </c>
      <c r="D28" s="41">
        <v>785</v>
      </c>
      <c r="E28" s="42">
        <f>ROUNDDOWN(VLOOKUP(C28,テーブル!$A$3:$C$5,3,0)*(1+VLOOKUP(D28,テーブル!$E$3:$F$5,2,1)),0)</f>
        <v>143</v>
      </c>
    </row>
    <row r="29" spans="1:5">
      <c r="A29" s="38">
        <v>44449</v>
      </c>
      <c r="B29" s="39">
        <v>14</v>
      </c>
      <c r="C29" s="40">
        <v>1003</v>
      </c>
      <c r="D29" s="41">
        <v>1091</v>
      </c>
      <c r="E29" s="42">
        <f>ROUNDDOWN(VLOOKUP(C29,テーブル!$A$3:$C$5,3,0)*(1+VLOOKUP(D29,テーブル!$E$3:$F$5,2,1)),0)</f>
        <v>142</v>
      </c>
    </row>
    <row r="30" spans="1:5">
      <c r="A30" s="38">
        <v>44449</v>
      </c>
      <c r="B30" s="39">
        <v>15</v>
      </c>
      <c r="C30" s="40">
        <v>1003</v>
      </c>
      <c r="D30" s="41">
        <v>492</v>
      </c>
      <c r="E30" s="42">
        <f>ROUNDDOWN(VLOOKUP(C30,テーブル!$A$3:$C$5,3,0)*(1+VLOOKUP(D30,テーブル!$E$3:$F$5,2,1)),0)</f>
        <v>144</v>
      </c>
    </row>
    <row r="31" spans="1:5">
      <c r="A31" s="38">
        <v>44459</v>
      </c>
      <c r="B31" s="39">
        <v>11</v>
      </c>
      <c r="C31" s="40">
        <v>1003</v>
      </c>
      <c r="D31" s="41">
        <v>754</v>
      </c>
      <c r="E31" s="42">
        <f>ROUNDDOWN(VLOOKUP(C31,テーブル!$A$3:$C$5,3,0)*(1+VLOOKUP(D31,テーブル!$E$3:$F$5,2,1)),0)</f>
        <v>143</v>
      </c>
    </row>
    <row r="32" spans="1:5">
      <c r="A32" s="38">
        <v>44459</v>
      </c>
      <c r="B32" s="39">
        <v>12</v>
      </c>
      <c r="C32" s="40">
        <v>1003</v>
      </c>
      <c r="D32" s="41">
        <v>109</v>
      </c>
      <c r="E32" s="42">
        <f>ROUNDDOWN(VLOOKUP(C32,テーブル!$A$3:$C$5,3,0)*(1+VLOOKUP(D32,テーブル!$E$3:$F$5,2,1)),0)</f>
        <v>144</v>
      </c>
    </row>
    <row r="33" spans="1:5">
      <c r="A33" s="38">
        <v>44459</v>
      </c>
      <c r="B33" s="39">
        <v>13</v>
      </c>
      <c r="C33" s="40">
        <v>1003</v>
      </c>
      <c r="D33" s="41">
        <v>205</v>
      </c>
      <c r="E33" s="42">
        <f>ROUNDDOWN(VLOOKUP(C33,テーブル!$A$3:$C$5,3,0)*(1+VLOOKUP(D33,テーブル!$E$3:$F$5,2,1)),0)</f>
        <v>144</v>
      </c>
    </row>
    <row r="34" spans="1:5">
      <c r="A34" s="38">
        <v>44459</v>
      </c>
      <c r="B34" s="39">
        <v>14</v>
      </c>
      <c r="C34" s="40">
        <v>1003</v>
      </c>
      <c r="D34" s="41">
        <v>155</v>
      </c>
      <c r="E34" s="42">
        <f>ROUNDDOWN(VLOOKUP(C34,テーブル!$A$3:$C$5,3,0)*(1+VLOOKUP(D34,テーブル!$E$3:$F$5,2,1)),0)</f>
        <v>144</v>
      </c>
    </row>
    <row r="35" spans="1:5">
      <c r="A35" s="38">
        <v>44459</v>
      </c>
      <c r="B35" s="39">
        <v>15</v>
      </c>
      <c r="C35" s="40">
        <v>1003</v>
      </c>
      <c r="D35" s="41">
        <v>424</v>
      </c>
      <c r="E35" s="42">
        <f>ROUNDDOWN(VLOOKUP(C35,テーブル!$A$3:$C$5,3,0)*(1+VLOOKUP(D35,テーブル!$E$3:$F$5,2,1)),0)</f>
        <v>144</v>
      </c>
    </row>
    <row r="36" spans="1:5">
      <c r="A36" s="38">
        <v>44470</v>
      </c>
      <c r="B36" s="39">
        <v>11</v>
      </c>
      <c r="C36" s="40">
        <v>1003</v>
      </c>
      <c r="D36" s="41">
        <v>481</v>
      </c>
      <c r="E36" s="42">
        <f>ROUNDDOWN(VLOOKUP(C36,テーブル!$A$3:$C$5,3,0)*(1+VLOOKUP(D36,テーブル!$E$3:$F$5,2,1)),0)</f>
        <v>144</v>
      </c>
    </row>
    <row r="37" spans="1:5">
      <c r="A37" s="38">
        <v>44470</v>
      </c>
      <c r="B37" s="39">
        <v>12</v>
      </c>
      <c r="C37" s="40">
        <v>1003</v>
      </c>
      <c r="D37" s="41">
        <v>357</v>
      </c>
      <c r="E37" s="42">
        <f>ROUNDDOWN(VLOOKUP(C37,テーブル!$A$3:$C$5,3,0)*(1+VLOOKUP(D37,テーブル!$E$3:$F$5,2,1)),0)</f>
        <v>144</v>
      </c>
    </row>
    <row r="38" spans="1:5">
      <c r="A38" s="38">
        <v>44470</v>
      </c>
      <c r="B38" s="39">
        <v>13</v>
      </c>
      <c r="C38" s="40">
        <v>1003</v>
      </c>
      <c r="D38" s="41">
        <v>784</v>
      </c>
      <c r="E38" s="42">
        <f>ROUNDDOWN(VLOOKUP(C38,テーブル!$A$3:$C$5,3,0)*(1+VLOOKUP(D38,テーブル!$E$3:$F$5,2,1)),0)</f>
        <v>143</v>
      </c>
    </row>
    <row r="39" spans="1:5">
      <c r="A39" s="38">
        <v>44470</v>
      </c>
      <c r="B39" s="39">
        <v>14</v>
      </c>
      <c r="C39" s="40">
        <v>1003</v>
      </c>
      <c r="D39" s="41">
        <v>901</v>
      </c>
      <c r="E39" s="42">
        <f>ROUNDDOWN(VLOOKUP(C39,テーブル!$A$3:$C$5,3,0)*(1+VLOOKUP(D39,テーブル!$E$3:$F$5,2,1)),0)</f>
        <v>142</v>
      </c>
    </row>
    <row r="40" spans="1:5" ht="14.25" thickBot="1">
      <c r="A40" s="43">
        <v>44470</v>
      </c>
      <c r="B40" s="44">
        <v>15</v>
      </c>
      <c r="C40" s="45">
        <v>1003</v>
      </c>
      <c r="D40" s="46">
        <v>521</v>
      </c>
      <c r="E40" s="47">
        <f>ROUNDDOWN(VLOOKUP(C40,テーブル!$A$3:$C$5,3,0)*(1+VLOOKUP(D40,テーブル!$E$3:$F$5,2,1)),0)</f>
        <v>144</v>
      </c>
    </row>
  </sheetData>
  <sortState xmlns:xlrd2="http://schemas.microsoft.com/office/spreadsheetml/2017/richdata2" ref="A2:E40">
    <sortCondition ref="C2:C40"/>
    <sortCondition ref="A2:A40"/>
    <sortCondition ref="B2:B40"/>
  </sortState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9FB47C-BE98-4589-954A-CA984A13C089}">
  <dimension ref="A1:D27"/>
  <sheetViews>
    <sheetView workbookViewId="0"/>
  </sheetViews>
  <sheetFormatPr defaultRowHeight="13.5"/>
  <cols>
    <col min="1" max="1" width="10.5" bestFit="1" customWidth="1"/>
    <col min="2" max="4" width="7.5" bestFit="1" customWidth="1"/>
  </cols>
  <sheetData>
    <row r="1" spans="1:4">
      <c r="A1" s="48" t="s">
        <v>46</v>
      </c>
      <c r="B1" s="49" t="s">
        <v>45</v>
      </c>
      <c r="C1" s="49" t="s">
        <v>49</v>
      </c>
      <c r="D1" s="26" t="s">
        <v>53</v>
      </c>
    </row>
    <row r="2" spans="1:4">
      <c r="A2" s="38">
        <v>44440</v>
      </c>
      <c r="B2" s="39" t="s">
        <v>1</v>
      </c>
      <c r="C2" s="39">
        <v>354</v>
      </c>
      <c r="D2" s="50">
        <f>ROUNDUP(INDEX(テーブル!$I$4:$K$6,MATCH(RIGHT(B2,1),テーブル!$H$4:$H$6,0),1)*C2,0)</f>
        <v>11647</v>
      </c>
    </row>
    <row r="3" spans="1:4">
      <c r="A3" s="38">
        <v>44441</v>
      </c>
      <c r="B3" s="39" t="s">
        <v>1</v>
      </c>
      <c r="C3" s="39">
        <v>298</v>
      </c>
      <c r="D3" s="50">
        <f>ROUNDUP(INDEX(テーブル!$I$4:$K$6,MATCH(RIGHT(B3,1),テーブル!$H$4:$H$6,0),1)*C3,0)</f>
        <v>9805</v>
      </c>
    </row>
    <row r="4" spans="1:4">
      <c r="A4" s="38">
        <v>44442</v>
      </c>
      <c r="B4" s="39" t="s">
        <v>1</v>
      </c>
      <c r="C4" s="39">
        <v>310</v>
      </c>
      <c r="D4" s="50">
        <f>ROUNDUP(INDEX(テーブル!$I$4:$K$6,MATCH(RIGHT(B4,1),テーブル!$H$4:$H$6,0),1)*C4,0)</f>
        <v>10199</v>
      </c>
    </row>
    <row r="5" spans="1:4">
      <c r="A5" s="38">
        <v>44442</v>
      </c>
      <c r="B5" s="39" t="s">
        <v>2</v>
      </c>
      <c r="C5" s="39">
        <v>311</v>
      </c>
      <c r="D5" s="50">
        <f>ROUNDUP(INDEX(テーブル!$I$4:$K$6,MATCH(RIGHT(B5,1),テーブル!$H$4:$H$6,0),1)*C5,0)</f>
        <v>10232</v>
      </c>
    </row>
    <row r="6" spans="1:4">
      <c r="A6" s="38">
        <v>44445</v>
      </c>
      <c r="B6" s="39" t="s">
        <v>2</v>
      </c>
      <c r="C6" s="39">
        <v>320</v>
      </c>
      <c r="D6" s="50">
        <f>ROUNDUP(INDEX(テーブル!$I$4:$K$6,MATCH(RIGHT(B6,1),テーブル!$H$4:$H$6,0),1)*C6,0)</f>
        <v>10528</v>
      </c>
    </row>
    <row r="7" spans="1:4">
      <c r="A7" s="38">
        <v>44446</v>
      </c>
      <c r="B7" s="39" t="s">
        <v>2</v>
      </c>
      <c r="C7" s="39">
        <v>311</v>
      </c>
      <c r="D7" s="50">
        <f>ROUNDUP(INDEX(テーブル!$I$4:$K$6,MATCH(RIGHT(B7,1),テーブル!$H$4:$H$6,0),1)*C7,0)</f>
        <v>10232</v>
      </c>
    </row>
    <row r="8" spans="1:4">
      <c r="A8" s="38">
        <v>44447</v>
      </c>
      <c r="B8" s="39" t="s">
        <v>2</v>
      </c>
      <c r="C8" s="39">
        <v>335</v>
      </c>
      <c r="D8" s="50">
        <f>ROUNDUP(INDEX(テーブル!$I$4:$K$6,MATCH(RIGHT(B8,1),テーブル!$H$4:$H$6,0),1)*C8,0)</f>
        <v>11022</v>
      </c>
    </row>
    <row r="9" spans="1:4">
      <c r="A9" s="38">
        <v>44448</v>
      </c>
      <c r="B9" s="39" t="s">
        <v>2</v>
      </c>
      <c r="C9" s="39">
        <v>332</v>
      </c>
      <c r="D9" s="50">
        <f>ROUNDUP(INDEX(テーブル!$I$4:$K$6,MATCH(RIGHT(B9,1),テーブル!$H$4:$H$6,0),1)*C9,0)</f>
        <v>10923</v>
      </c>
    </row>
    <row r="10" spans="1:4">
      <c r="A10" s="38">
        <v>44449</v>
      </c>
      <c r="B10" s="39" t="s">
        <v>2</v>
      </c>
      <c r="C10" s="39">
        <v>316</v>
      </c>
      <c r="D10" s="50">
        <f>ROUNDUP(INDEX(テーブル!$I$4:$K$6,MATCH(RIGHT(B10,1),テーブル!$H$4:$H$6,0),1)*C10,0)</f>
        <v>10397</v>
      </c>
    </row>
    <row r="11" spans="1:4">
      <c r="A11" s="38">
        <v>44452</v>
      </c>
      <c r="B11" s="39" t="s">
        <v>1</v>
      </c>
      <c r="C11" s="39">
        <v>358</v>
      </c>
      <c r="D11" s="50">
        <f>ROUNDUP(INDEX(テーブル!$I$4:$K$6,MATCH(RIGHT(B11,1),テーブル!$H$4:$H$6,0),1)*C11,0)</f>
        <v>11779</v>
      </c>
    </row>
    <row r="12" spans="1:4">
      <c r="A12" s="38">
        <v>44452</v>
      </c>
      <c r="B12" s="39" t="s">
        <v>23</v>
      </c>
      <c r="C12" s="39">
        <v>295</v>
      </c>
      <c r="D12" s="50">
        <f>ROUNDUP(INDEX(テーブル!$I$4:$K$6,MATCH(RIGHT(B12,1),テーブル!$H$4:$H$6,0),1)*C12,0)</f>
        <v>8909</v>
      </c>
    </row>
    <row r="13" spans="1:4">
      <c r="A13" s="38">
        <v>44453</v>
      </c>
      <c r="B13" s="39" t="s">
        <v>1</v>
      </c>
      <c r="C13" s="39">
        <v>328</v>
      </c>
      <c r="D13" s="50">
        <f>ROUNDUP(INDEX(テーブル!$I$4:$K$6,MATCH(RIGHT(B13,1),テーブル!$H$4:$H$6,0),1)*C13,0)</f>
        <v>10792</v>
      </c>
    </row>
    <row r="14" spans="1:4">
      <c r="A14" s="38">
        <v>44453</v>
      </c>
      <c r="B14" s="39" t="s">
        <v>23</v>
      </c>
      <c r="C14" s="39">
        <v>310</v>
      </c>
      <c r="D14" s="50">
        <f>ROUNDUP(INDEX(テーブル!$I$4:$K$6,MATCH(RIGHT(B14,1),テーブル!$H$4:$H$6,0),1)*C14,0)</f>
        <v>9362</v>
      </c>
    </row>
    <row r="15" spans="1:4">
      <c r="A15" s="38">
        <v>44454</v>
      </c>
      <c r="B15" s="39" t="s">
        <v>1</v>
      </c>
      <c r="C15" s="39">
        <v>357</v>
      </c>
      <c r="D15" s="50">
        <f>ROUNDUP(INDEX(テーブル!$I$4:$K$6,MATCH(RIGHT(B15,1),テーブル!$H$4:$H$6,0),1)*C15,0)</f>
        <v>11746</v>
      </c>
    </row>
    <row r="16" spans="1:4">
      <c r="A16" s="38">
        <v>44454</v>
      </c>
      <c r="B16" s="39" t="s">
        <v>23</v>
      </c>
      <c r="C16" s="39">
        <v>289</v>
      </c>
      <c r="D16" s="50">
        <f>ROUNDUP(INDEX(テーブル!$I$4:$K$6,MATCH(RIGHT(B16,1),テーブル!$H$4:$H$6,0),1)*C16,0)</f>
        <v>8728</v>
      </c>
    </row>
    <row r="17" spans="1:4">
      <c r="A17" s="38">
        <v>44455</v>
      </c>
      <c r="B17" s="39" t="s">
        <v>23</v>
      </c>
      <c r="C17" s="39">
        <v>299</v>
      </c>
      <c r="D17" s="50">
        <f>ROUNDUP(INDEX(テーブル!$I$4:$K$6,MATCH(RIGHT(B17,1),テーブル!$H$4:$H$6,0),1)*C17,0)</f>
        <v>9030</v>
      </c>
    </row>
    <row r="18" spans="1:4">
      <c r="A18" s="38">
        <v>44456</v>
      </c>
      <c r="B18" s="39" t="s">
        <v>1</v>
      </c>
      <c r="C18" s="39">
        <v>345</v>
      </c>
      <c r="D18" s="50">
        <f>ROUNDUP(INDEX(テーブル!$I$4:$K$6,MATCH(RIGHT(B18,1),テーブル!$H$4:$H$6,0),1)*C18,0)</f>
        <v>11351</v>
      </c>
    </row>
    <row r="19" spans="1:4">
      <c r="A19" s="38">
        <v>44456</v>
      </c>
      <c r="B19" s="39" t="s">
        <v>23</v>
      </c>
      <c r="C19" s="39">
        <v>320</v>
      </c>
      <c r="D19" s="50">
        <f>ROUNDUP(INDEX(テーブル!$I$4:$K$6,MATCH(RIGHT(B19,1),テーブル!$H$4:$H$6,0),1)*C19,0)</f>
        <v>9664</v>
      </c>
    </row>
    <row r="20" spans="1:4">
      <c r="A20" s="38">
        <v>44460</v>
      </c>
      <c r="B20" s="39" t="s">
        <v>2</v>
      </c>
      <c r="C20" s="39">
        <v>328</v>
      </c>
      <c r="D20" s="50">
        <f>ROUNDUP(INDEX(テーブル!$I$4:$K$6,MATCH(RIGHT(B20,1),テーブル!$H$4:$H$6,0),1)*C20,0)</f>
        <v>10792</v>
      </c>
    </row>
    <row r="21" spans="1:4">
      <c r="A21" s="38">
        <v>44461</v>
      </c>
      <c r="B21" s="39" t="s">
        <v>2</v>
      </c>
      <c r="C21" s="39">
        <v>304</v>
      </c>
      <c r="D21" s="50">
        <f>ROUNDUP(INDEX(テーブル!$I$4:$K$6,MATCH(RIGHT(B21,1),テーブル!$H$4:$H$6,0),1)*C21,0)</f>
        <v>10002</v>
      </c>
    </row>
    <row r="22" spans="1:4">
      <c r="A22" s="38">
        <v>44463</v>
      </c>
      <c r="B22" s="39" t="s">
        <v>23</v>
      </c>
      <c r="C22" s="39">
        <v>326</v>
      </c>
      <c r="D22" s="50">
        <f>ROUNDUP(INDEX(テーブル!$I$4:$K$6,MATCH(RIGHT(B22,1),テーブル!$H$4:$H$6,0),1)*C22,0)</f>
        <v>9846</v>
      </c>
    </row>
    <row r="23" spans="1:4">
      <c r="A23" s="38">
        <v>44463</v>
      </c>
      <c r="B23" s="39" t="s">
        <v>2</v>
      </c>
      <c r="C23" s="39">
        <v>343</v>
      </c>
      <c r="D23" s="50">
        <f>ROUNDUP(INDEX(テーブル!$I$4:$K$6,MATCH(RIGHT(B23,1),テーブル!$H$4:$H$6,0),1)*C23,0)</f>
        <v>11285</v>
      </c>
    </row>
    <row r="24" spans="1:4">
      <c r="A24" s="38">
        <v>44466</v>
      </c>
      <c r="B24" s="39" t="s">
        <v>1</v>
      </c>
      <c r="C24" s="39">
        <v>368</v>
      </c>
      <c r="D24" s="50">
        <f>ROUNDUP(INDEX(テーブル!$I$4:$K$6,MATCH(RIGHT(B24,1),テーブル!$H$4:$H$6,0),1)*C24,0)</f>
        <v>12108</v>
      </c>
    </row>
    <row r="25" spans="1:4">
      <c r="A25" s="38">
        <v>44467</v>
      </c>
      <c r="B25" s="39" t="s">
        <v>1</v>
      </c>
      <c r="C25" s="39">
        <v>326</v>
      </c>
      <c r="D25" s="50">
        <f>ROUNDUP(INDEX(テーブル!$I$4:$K$6,MATCH(RIGHT(B25,1),テーブル!$H$4:$H$6,0),1)*C25,0)</f>
        <v>10726</v>
      </c>
    </row>
    <row r="26" spans="1:4">
      <c r="A26" s="38">
        <v>44468</v>
      </c>
      <c r="B26" s="39" t="s">
        <v>1</v>
      </c>
      <c r="C26" s="39">
        <v>342</v>
      </c>
      <c r="D26" s="50">
        <f>ROUNDUP(INDEX(テーブル!$I$4:$K$6,MATCH(RIGHT(B26,1),テーブル!$H$4:$H$6,0),1)*C26,0)</f>
        <v>11252</v>
      </c>
    </row>
    <row r="27" spans="1:4" ht="14.25" thickBot="1">
      <c r="A27" s="43">
        <v>44469</v>
      </c>
      <c r="B27" s="44" t="s">
        <v>1</v>
      </c>
      <c r="C27" s="44">
        <v>339</v>
      </c>
      <c r="D27" s="51">
        <f>ROUNDUP(INDEX(テーブル!$I$4:$K$6,MATCH(RIGHT(B27,1),テーブル!$H$4:$H$6,0),1)*C27,0)</f>
        <v>11154</v>
      </c>
    </row>
  </sheetData>
  <sortState xmlns:xlrd2="http://schemas.microsoft.com/office/spreadsheetml/2017/richdata2" ref="A2:C27">
    <sortCondition ref="A2:A27"/>
    <sortCondition ref="B2:B27"/>
  </sortState>
  <phoneticPr fontId="1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FB8D3D-1DFD-4A91-BB84-AF413758BF03}">
  <dimension ref="A1:D27"/>
  <sheetViews>
    <sheetView workbookViewId="0"/>
  </sheetViews>
  <sheetFormatPr defaultRowHeight="13.5"/>
  <cols>
    <col min="1" max="1" width="10.5" bestFit="1" customWidth="1"/>
    <col min="2" max="4" width="7.5" bestFit="1" customWidth="1"/>
  </cols>
  <sheetData>
    <row r="1" spans="1:4">
      <c r="A1" s="48" t="s">
        <v>46</v>
      </c>
      <c r="B1" s="49" t="s">
        <v>45</v>
      </c>
      <c r="C1" s="49" t="s">
        <v>49</v>
      </c>
      <c r="D1" s="26" t="s">
        <v>53</v>
      </c>
    </row>
    <row r="2" spans="1:4">
      <c r="A2" s="38">
        <v>44440</v>
      </c>
      <c r="B2" s="39" t="s">
        <v>20</v>
      </c>
      <c r="C2" s="39">
        <v>299</v>
      </c>
      <c r="D2" s="50">
        <f>ROUNDUP(INDEX(テーブル!$I$4:$K$6,MATCH(RIGHT(B2,1),テーブル!$H$4:$H$6,0),2)*C2,0)</f>
        <v>11093</v>
      </c>
    </row>
    <row r="3" spans="1:4">
      <c r="A3" s="38">
        <v>44441</v>
      </c>
      <c r="B3" s="39" t="s">
        <v>20</v>
      </c>
      <c r="C3" s="39">
        <v>309</v>
      </c>
      <c r="D3" s="50">
        <f>ROUNDUP(INDEX(テーブル!$I$4:$K$6,MATCH(RIGHT(B3,1),テーブル!$H$4:$H$6,0),2)*C3,0)</f>
        <v>11464</v>
      </c>
    </row>
    <row r="4" spans="1:4">
      <c r="A4" s="38">
        <v>44442</v>
      </c>
      <c r="B4" s="39" t="s">
        <v>20</v>
      </c>
      <c r="C4" s="39">
        <v>307</v>
      </c>
      <c r="D4" s="50">
        <f>ROUNDUP(INDEX(テーブル!$I$4:$K$6,MATCH(RIGHT(B4,1),テーブル!$H$4:$H$6,0),2)*C4,0)</f>
        <v>11390</v>
      </c>
    </row>
    <row r="5" spans="1:4">
      <c r="A5" s="38">
        <v>44445</v>
      </c>
      <c r="B5" s="39" t="s">
        <v>1</v>
      </c>
      <c r="C5" s="39">
        <v>366</v>
      </c>
      <c r="D5" s="50">
        <f>ROUNDUP(INDEX(テーブル!$I$4:$K$6,MATCH(RIGHT(B5,1),テーブル!$H$4:$H$6,0),2)*C5,0)</f>
        <v>14165</v>
      </c>
    </row>
    <row r="6" spans="1:4">
      <c r="A6" s="38">
        <v>44445</v>
      </c>
      <c r="B6" s="39" t="s">
        <v>23</v>
      </c>
      <c r="C6" s="39">
        <v>455</v>
      </c>
      <c r="D6" s="50">
        <f>ROUNDUP(INDEX(テーブル!$I$4:$K$6,MATCH(RIGHT(B6,1),テーブル!$H$4:$H$6,0),2)*C6,0)</f>
        <v>16153</v>
      </c>
    </row>
    <row r="7" spans="1:4">
      <c r="A7" s="38">
        <v>44446</v>
      </c>
      <c r="B7" s="39" t="s">
        <v>1</v>
      </c>
      <c r="C7" s="39">
        <v>364</v>
      </c>
      <c r="D7" s="50">
        <f>ROUNDUP(INDEX(テーブル!$I$4:$K$6,MATCH(RIGHT(B7,1),テーブル!$H$4:$H$6,0),2)*C7,0)</f>
        <v>14087</v>
      </c>
    </row>
    <row r="8" spans="1:4">
      <c r="A8" s="38">
        <v>44446</v>
      </c>
      <c r="B8" s="39" t="s">
        <v>23</v>
      </c>
      <c r="C8" s="39">
        <v>427</v>
      </c>
      <c r="D8" s="50">
        <f>ROUNDUP(INDEX(テーブル!$I$4:$K$6,MATCH(RIGHT(B8,1),テーブル!$H$4:$H$6,0),2)*C8,0)</f>
        <v>15159</v>
      </c>
    </row>
    <row r="9" spans="1:4">
      <c r="A9" s="38">
        <v>44447</v>
      </c>
      <c r="B9" s="39" t="s">
        <v>1</v>
      </c>
      <c r="C9" s="39">
        <v>353</v>
      </c>
      <c r="D9" s="50">
        <f>ROUNDUP(INDEX(テーブル!$I$4:$K$6,MATCH(RIGHT(B9,1),テーブル!$H$4:$H$6,0),2)*C9,0)</f>
        <v>13662</v>
      </c>
    </row>
    <row r="10" spans="1:4">
      <c r="A10" s="38">
        <v>44447</v>
      </c>
      <c r="B10" s="39" t="s">
        <v>23</v>
      </c>
      <c r="C10" s="39">
        <v>431</v>
      </c>
      <c r="D10" s="50">
        <f>ROUNDUP(INDEX(テーブル!$I$4:$K$6,MATCH(RIGHT(B10,1),テーブル!$H$4:$H$6,0),2)*C10,0)</f>
        <v>15301</v>
      </c>
    </row>
    <row r="11" spans="1:4">
      <c r="A11" s="38">
        <v>44448</v>
      </c>
      <c r="B11" s="39" t="s">
        <v>1</v>
      </c>
      <c r="C11" s="39">
        <v>353</v>
      </c>
      <c r="D11" s="50">
        <f>ROUNDUP(INDEX(テーブル!$I$4:$K$6,MATCH(RIGHT(B11,1),テーブル!$H$4:$H$6,0),2)*C11,0)</f>
        <v>13662</v>
      </c>
    </row>
    <row r="12" spans="1:4">
      <c r="A12" s="38">
        <v>44448</v>
      </c>
      <c r="B12" s="39" t="s">
        <v>23</v>
      </c>
      <c r="C12" s="39">
        <v>419</v>
      </c>
      <c r="D12" s="50">
        <f>ROUNDUP(INDEX(テーブル!$I$4:$K$6,MATCH(RIGHT(B12,1),テーブル!$H$4:$H$6,0),2)*C12,0)</f>
        <v>14875</v>
      </c>
    </row>
    <row r="13" spans="1:4">
      <c r="A13" s="38">
        <v>44449</v>
      </c>
      <c r="B13" s="39" t="s">
        <v>1</v>
      </c>
      <c r="C13" s="39">
        <v>368</v>
      </c>
      <c r="D13" s="50">
        <f>ROUNDUP(INDEX(テーブル!$I$4:$K$6,MATCH(RIGHT(B13,1),テーブル!$H$4:$H$6,0),2)*C13,0)</f>
        <v>14242</v>
      </c>
    </row>
    <row r="14" spans="1:4">
      <c r="A14" s="38">
        <v>44449</v>
      </c>
      <c r="B14" s="39" t="s">
        <v>23</v>
      </c>
      <c r="C14" s="39">
        <v>415</v>
      </c>
      <c r="D14" s="50">
        <f>ROUNDUP(INDEX(テーブル!$I$4:$K$6,MATCH(RIGHT(B14,1),テーブル!$H$4:$H$6,0),2)*C14,0)</f>
        <v>14733</v>
      </c>
    </row>
    <row r="15" spans="1:4">
      <c r="A15" s="38">
        <v>44452</v>
      </c>
      <c r="B15" s="39" t="s">
        <v>20</v>
      </c>
      <c r="C15" s="39">
        <v>345</v>
      </c>
      <c r="D15" s="50">
        <f>ROUNDUP(INDEX(テーブル!$I$4:$K$6,MATCH(RIGHT(B15,1),テーブル!$H$4:$H$6,0),2)*C15,0)</f>
        <v>12800</v>
      </c>
    </row>
    <row r="16" spans="1:4">
      <c r="A16" s="38">
        <v>44453</v>
      </c>
      <c r="B16" s="39" t="s">
        <v>20</v>
      </c>
      <c r="C16" s="39">
        <v>287</v>
      </c>
      <c r="D16" s="50">
        <f>ROUNDUP(INDEX(テーブル!$I$4:$K$6,MATCH(RIGHT(B16,1),テーブル!$H$4:$H$6,0),2)*C16,0)</f>
        <v>10648</v>
      </c>
    </row>
    <row r="17" spans="1:4">
      <c r="A17" s="38">
        <v>44454</v>
      </c>
      <c r="B17" s="39" t="s">
        <v>20</v>
      </c>
      <c r="C17" s="39">
        <v>368</v>
      </c>
      <c r="D17" s="50">
        <f>ROUNDUP(INDEX(テーブル!$I$4:$K$6,MATCH(RIGHT(B17,1),テーブル!$H$4:$H$6,0),2)*C17,0)</f>
        <v>13653</v>
      </c>
    </row>
    <row r="18" spans="1:4">
      <c r="A18" s="38">
        <v>44455</v>
      </c>
      <c r="B18" s="39" t="s">
        <v>20</v>
      </c>
      <c r="C18" s="39">
        <v>340</v>
      </c>
      <c r="D18" s="50">
        <f>ROUNDUP(INDEX(テーブル!$I$4:$K$6,MATCH(RIGHT(B18,1),テーブル!$H$4:$H$6,0),2)*C18,0)</f>
        <v>12614</v>
      </c>
    </row>
    <row r="19" spans="1:4">
      <c r="A19" s="38">
        <v>44456</v>
      </c>
      <c r="B19" s="39" t="s">
        <v>20</v>
      </c>
      <c r="C19" s="39">
        <v>301</v>
      </c>
      <c r="D19" s="50">
        <f>ROUNDUP(INDEX(テーブル!$I$4:$K$6,MATCH(RIGHT(B19,1),テーブル!$H$4:$H$6,0),2)*C19,0)</f>
        <v>11168</v>
      </c>
    </row>
    <row r="20" spans="1:4">
      <c r="A20" s="38">
        <v>44460</v>
      </c>
      <c r="B20" s="39" t="s">
        <v>1</v>
      </c>
      <c r="C20" s="39">
        <v>367</v>
      </c>
      <c r="D20" s="50">
        <f>ROUNDUP(INDEX(テーブル!$I$4:$K$6,MATCH(RIGHT(B20,1),テーブル!$H$4:$H$6,0),2)*C20,0)</f>
        <v>14203</v>
      </c>
    </row>
    <row r="21" spans="1:4">
      <c r="A21" s="38">
        <v>44461</v>
      </c>
      <c r="B21" s="39" t="s">
        <v>1</v>
      </c>
      <c r="C21" s="39">
        <v>361</v>
      </c>
      <c r="D21" s="50">
        <f>ROUNDUP(INDEX(テーブル!$I$4:$K$6,MATCH(RIGHT(B21,1),テーブル!$H$4:$H$6,0),2)*C21,0)</f>
        <v>13971</v>
      </c>
    </row>
    <row r="22" spans="1:4">
      <c r="A22" s="38">
        <v>44461</v>
      </c>
      <c r="B22" s="39" t="s">
        <v>23</v>
      </c>
      <c r="C22" s="39">
        <v>445</v>
      </c>
      <c r="D22" s="50">
        <f>ROUNDUP(INDEX(テーブル!$I$4:$K$6,MATCH(RIGHT(B22,1),テーブル!$H$4:$H$6,0),2)*C22,0)</f>
        <v>15798</v>
      </c>
    </row>
    <row r="23" spans="1:4">
      <c r="A23" s="38">
        <v>44463</v>
      </c>
      <c r="B23" s="39" t="s">
        <v>1</v>
      </c>
      <c r="C23" s="39">
        <v>414</v>
      </c>
      <c r="D23" s="50">
        <f>ROUNDUP(INDEX(テーブル!$I$4:$K$6,MATCH(RIGHT(B23,1),テーブル!$H$4:$H$6,0),2)*C23,0)</f>
        <v>16022</v>
      </c>
    </row>
    <row r="24" spans="1:4">
      <c r="A24" s="38">
        <v>44467</v>
      </c>
      <c r="B24" s="39" t="s">
        <v>20</v>
      </c>
      <c r="C24" s="39">
        <v>333</v>
      </c>
      <c r="D24" s="50">
        <f>ROUNDUP(INDEX(テーブル!$I$4:$K$6,MATCH(RIGHT(B24,1),テーブル!$H$4:$H$6,0),2)*C24,0)</f>
        <v>12355</v>
      </c>
    </row>
    <row r="25" spans="1:4">
      <c r="A25" s="38">
        <v>44468</v>
      </c>
      <c r="B25" s="39" t="s">
        <v>20</v>
      </c>
      <c r="C25" s="39">
        <v>338</v>
      </c>
      <c r="D25" s="50">
        <f>ROUNDUP(INDEX(テーブル!$I$4:$K$6,MATCH(RIGHT(B25,1),テーブル!$H$4:$H$6,0),2)*C25,0)</f>
        <v>12540</v>
      </c>
    </row>
    <row r="26" spans="1:4">
      <c r="A26" s="38">
        <v>44468</v>
      </c>
      <c r="B26" s="39" t="s">
        <v>23</v>
      </c>
      <c r="C26" s="39">
        <v>501</v>
      </c>
      <c r="D26" s="50">
        <f>ROUNDUP(INDEX(テーブル!$I$4:$K$6,MATCH(RIGHT(B26,1),テーブル!$H$4:$H$6,0),2)*C26,0)</f>
        <v>17786</v>
      </c>
    </row>
    <row r="27" spans="1:4" ht="14.25" thickBot="1">
      <c r="A27" s="43">
        <v>44469</v>
      </c>
      <c r="B27" s="44" t="s">
        <v>20</v>
      </c>
      <c r="C27" s="44">
        <v>299</v>
      </c>
      <c r="D27" s="51">
        <f>ROUNDUP(INDEX(テーブル!$I$4:$K$6,MATCH(RIGHT(B27,1),テーブル!$H$4:$H$6,0),2)*C27,0)</f>
        <v>11093</v>
      </c>
    </row>
  </sheetData>
  <sortState xmlns:xlrd2="http://schemas.microsoft.com/office/spreadsheetml/2017/richdata2" ref="A2:C27">
    <sortCondition ref="A2:A27"/>
    <sortCondition ref="B2:B27"/>
  </sortState>
  <phoneticPr fontId="1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2F7AD1-66B2-4E29-A61B-7C56B9E6C03F}">
  <dimension ref="A1:D27"/>
  <sheetViews>
    <sheetView workbookViewId="0"/>
  </sheetViews>
  <sheetFormatPr defaultRowHeight="13.5"/>
  <cols>
    <col min="1" max="1" width="10.5" bestFit="1" customWidth="1"/>
    <col min="2" max="4" width="7.5" bestFit="1" customWidth="1"/>
  </cols>
  <sheetData>
    <row r="1" spans="1:4">
      <c r="A1" s="48" t="s">
        <v>46</v>
      </c>
      <c r="B1" s="49" t="s">
        <v>45</v>
      </c>
      <c r="C1" s="49" t="s">
        <v>49</v>
      </c>
      <c r="D1" s="26" t="s">
        <v>53</v>
      </c>
    </row>
    <row r="2" spans="1:4">
      <c r="A2" s="38">
        <v>44440</v>
      </c>
      <c r="B2" s="39" t="s">
        <v>23</v>
      </c>
      <c r="C2" s="39">
        <v>412</v>
      </c>
      <c r="D2" s="50">
        <f>ROUNDUP(INDEX(テーブル!$I$4:$K$6,MATCH(RIGHT(B2,1),テーブル!$H$4:$H$6,0),3)*C2,0)</f>
        <v>12608</v>
      </c>
    </row>
    <row r="3" spans="1:4">
      <c r="A3" s="38">
        <v>44440</v>
      </c>
      <c r="B3" s="39" t="s">
        <v>2</v>
      </c>
      <c r="C3" s="39">
        <v>226</v>
      </c>
      <c r="D3" s="50">
        <f>ROUNDUP(INDEX(テーブル!$I$4:$K$6,MATCH(RIGHT(B3,1),テーブル!$H$4:$H$6,0),3)*C3,0)</f>
        <v>7549</v>
      </c>
    </row>
    <row r="4" spans="1:4">
      <c r="A4" s="38">
        <v>44441</v>
      </c>
      <c r="B4" s="39" t="s">
        <v>23</v>
      </c>
      <c r="C4" s="39">
        <v>440</v>
      </c>
      <c r="D4" s="50">
        <f>ROUNDUP(INDEX(テーブル!$I$4:$K$6,MATCH(RIGHT(B4,1),テーブル!$H$4:$H$6,0),3)*C4,0)</f>
        <v>13464</v>
      </c>
    </row>
    <row r="5" spans="1:4">
      <c r="A5" s="38">
        <v>44441</v>
      </c>
      <c r="B5" s="39" t="s">
        <v>2</v>
      </c>
      <c r="C5" s="39">
        <v>220</v>
      </c>
      <c r="D5" s="50">
        <f>ROUNDUP(INDEX(テーブル!$I$4:$K$6,MATCH(RIGHT(B5,1),テーブル!$H$4:$H$6,0),3)*C5,0)</f>
        <v>7348</v>
      </c>
    </row>
    <row r="6" spans="1:4">
      <c r="A6" s="38">
        <v>44442</v>
      </c>
      <c r="B6" s="39" t="s">
        <v>23</v>
      </c>
      <c r="C6" s="39">
        <v>436</v>
      </c>
      <c r="D6" s="50">
        <f>ROUNDUP(INDEX(テーブル!$I$4:$K$6,MATCH(RIGHT(B6,1),テーブル!$H$4:$H$6,0),3)*C6,0)</f>
        <v>13342</v>
      </c>
    </row>
    <row r="7" spans="1:4">
      <c r="A7" s="38">
        <v>44442</v>
      </c>
      <c r="B7" s="39" t="s">
        <v>2</v>
      </c>
      <c r="C7" s="39">
        <v>261</v>
      </c>
      <c r="D7" s="50">
        <f>ROUNDUP(INDEX(テーブル!$I$4:$K$6,MATCH(RIGHT(B7,1),テーブル!$H$4:$H$6,0),3)*C7,0)</f>
        <v>8718</v>
      </c>
    </row>
    <row r="8" spans="1:4">
      <c r="A8" s="38">
        <v>44445</v>
      </c>
      <c r="B8" s="39" t="s">
        <v>20</v>
      </c>
      <c r="C8" s="39">
        <v>430</v>
      </c>
      <c r="D8" s="50">
        <f>ROUNDUP(INDEX(テーブル!$I$4:$K$6,MATCH(RIGHT(B8,1),テーブル!$H$4:$H$6,0),3)*C8,0)</f>
        <v>13760</v>
      </c>
    </row>
    <row r="9" spans="1:4">
      <c r="A9" s="38">
        <v>44446</v>
      </c>
      <c r="B9" s="39" t="s">
        <v>20</v>
      </c>
      <c r="C9" s="39">
        <v>408</v>
      </c>
      <c r="D9" s="50">
        <f>ROUNDUP(INDEX(テーブル!$I$4:$K$6,MATCH(RIGHT(B9,1),テーブル!$H$4:$H$6,0),3)*C9,0)</f>
        <v>13056</v>
      </c>
    </row>
    <row r="10" spans="1:4">
      <c r="A10" s="38">
        <v>44447</v>
      </c>
      <c r="B10" s="39" t="s">
        <v>20</v>
      </c>
      <c r="C10" s="39">
        <v>351</v>
      </c>
      <c r="D10" s="50">
        <f>ROUNDUP(INDEX(テーブル!$I$4:$K$6,MATCH(RIGHT(B10,1),テーブル!$H$4:$H$6,0),3)*C10,0)</f>
        <v>11232</v>
      </c>
    </row>
    <row r="11" spans="1:4">
      <c r="A11" s="38">
        <v>44448</v>
      </c>
      <c r="B11" s="39" t="s">
        <v>20</v>
      </c>
      <c r="C11" s="39">
        <v>362</v>
      </c>
      <c r="D11" s="50">
        <f>ROUNDUP(INDEX(テーブル!$I$4:$K$6,MATCH(RIGHT(B11,1),テーブル!$H$4:$H$6,0),3)*C11,0)</f>
        <v>11584</v>
      </c>
    </row>
    <row r="12" spans="1:4">
      <c r="A12" s="38">
        <v>44449</v>
      </c>
      <c r="B12" s="39" t="s">
        <v>20</v>
      </c>
      <c r="C12" s="39">
        <v>409</v>
      </c>
      <c r="D12" s="50">
        <f>ROUNDUP(INDEX(テーブル!$I$4:$K$6,MATCH(RIGHT(B12,1),テーブル!$H$4:$H$6,0),3)*C12,0)</f>
        <v>13088</v>
      </c>
    </row>
    <row r="13" spans="1:4">
      <c r="A13" s="38">
        <v>44452</v>
      </c>
      <c r="B13" s="39" t="s">
        <v>2</v>
      </c>
      <c r="C13" s="39">
        <v>274</v>
      </c>
      <c r="D13" s="50">
        <f>ROUNDUP(INDEX(テーブル!$I$4:$K$6,MATCH(RIGHT(B13,1),テーブル!$H$4:$H$6,0),3)*C13,0)</f>
        <v>9152</v>
      </c>
    </row>
    <row r="14" spans="1:4">
      <c r="A14" s="38">
        <v>44453</v>
      </c>
      <c r="B14" s="39" t="s">
        <v>2</v>
      </c>
      <c r="C14" s="39">
        <v>224</v>
      </c>
      <c r="D14" s="50">
        <f>ROUNDUP(INDEX(テーブル!$I$4:$K$6,MATCH(RIGHT(B14,1),テーブル!$H$4:$H$6,0),3)*C14,0)</f>
        <v>7482</v>
      </c>
    </row>
    <row r="15" spans="1:4">
      <c r="A15" s="38">
        <v>44454</v>
      </c>
      <c r="B15" s="39" t="s">
        <v>2</v>
      </c>
      <c r="C15" s="39">
        <v>282</v>
      </c>
      <c r="D15" s="50">
        <f>ROUNDUP(INDEX(テーブル!$I$4:$K$6,MATCH(RIGHT(B15,1),テーブル!$H$4:$H$6,0),3)*C15,0)</f>
        <v>9419</v>
      </c>
    </row>
    <row r="16" spans="1:4">
      <c r="A16" s="38">
        <v>44455</v>
      </c>
      <c r="B16" s="39" t="s">
        <v>2</v>
      </c>
      <c r="C16" s="39">
        <v>252</v>
      </c>
      <c r="D16" s="50">
        <f>ROUNDUP(INDEX(テーブル!$I$4:$K$6,MATCH(RIGHT(B16,1),テーブル!$H$4:$H$6,0),3)*C16,0)</f>
        <v>8417</v>
      </c>
    </row>
    <row r="17" spans="1:4">
      <c r="A17" s="38">
        <v>44456</v>
      </c>
      <c r="B17" s="39" t="s">
        <v>2</v>
      </c>
      <c r="C17" s="39">
        <v>214</v>
      </c>
      <c r="D17" s="50">
        <f>ROUNDUP(INDEX(テーブル!$I$4:$K$6,MATCH(RIGHT(B17,1),テーブル!$H$4:$H$6,0),3)*C17,0)</f>
        <v>7148</v>
      </c>
    </row>
    <row r="18" spans="1:4">
      <c r="A18" s="38">
        <v>44460</v>
      </c>
      <c r="B18" s="39" t="s">
        <v>20</v>
      </c>
      <c r="C18" s="39">
        <v>408</v>
      </c>
      <c r="D18" s="50">
        <f>ROUNDUP(INDEX(テーブル!$I$4:$K$6,MATCH(RIGHT(B18,1),テーブル!$H$4:$H$6,0),3)*C18,0)</f>
        <v>13056</v>
      </c>
    </row>
    <row r="19" spans="1:4">
      <c r="A19" s="38">
        <v>44460</v>
      </c>
      <c r="B19" s="39" t="s">
        <v>23</v>
      </c>
      <c r="C19" s="39">
        <v>383</v>
      </c>
      <c r="D19" s="50">
        <f>ROUNDUP(INDEX(テーブル!$I$4:$K$6,MATCH(RIGHT(B19,1),テーブル!$H$4:$H$6,0),3)*C19,0)</f>
        <v>11720</v>
      </c>
    </row>
    <row r="20" spans="1:4">
      <c r="A20" s="38">
        <v>44461</v>
      </c>
      <c r="B20" s="39" t="s">
        <v>20</v>
      </c>
      <c r="C20" s="39">
        <v>332</v>
      </c>
      <c r="D20" s="50">
        <f>ROUNDUP(INDEX(テーブル!$I$4:$K$6,MATCH(RIGHT(B20,1),テーブル!$H$4:$H$6,0),3)*C20,0)</f>
        <v>10624</v>
      </c>
    </row>
    <row r="21" spans="1:4">
      <c r="A21" s="38">
        <v>44463</v>
      </c>
      <c r="B21" s="39" t="s">
        <v>20</v>
      </c>
      <c r="C21" s="39">
        <v>347</v>
      </c>
      <c r="D21" s="50">
        <f>ROUNDUP(INDEX(テーブル!$I$4:$K$6,MATCH(RIGHT(B21,1),テーブル!$H$4:$H$6,0),3)*C21,0)</f>
        <v>11104</v>
      </c>
    </row>
    <row r="22" spans="1:4">
      <c r="A22" s="38">
        <v>44466</v>
      </c>
      <c r="B22" s="39" t="s">
        <v>23</v>
      </c>
      <c r="C22" s="39">
        <v>405</v>
      </c>
      <c r="D22" s="50">
        <f>ROUNDUP(INDEX(テーブル!$I$4:$K$6,MATCH(RIGHT(B22,1),テーブル!$H$4:$H$6,0),3)*C22,0)</f>
        <v>12393</v>
      </c>
    </row>
    <row r="23" spans="1:4">
      <c r="A23" s="38">
        <v>44466</v>
      </c>
      <c r="B23" s="39" t="s">
        <v>2</v>
      </c>
      <c r="C23" s="39">
        <v>209</v>
      </c>
      <c r="D23" s="50">
        <f>ROUNDUP(INDEX(テーブル!$I$4:$K$6,MATCH(RIGHT(B23,1),テーブル!$H$4:$H$6,0),3)*C23,0)</f>
        <v>6981</v>
      </c>
    </row>
    <row r="24" spans="1:4">
      <c r="A24" s="38">
        <v>44467</v>
      </c>
      <c r="B24" s="39" t="s">
        <v>2</v>
      </c>
      <c r="C24" s="39">
        <v>215</v>
      </c>
      <c r="D24" s="50">
        <f>ROUNDUP(INDEX(テーブル!$I$4:$K$6,MATCH(RIGHT(B24,1),テーブル!$H$4:$H$6,0),3)*C24,0)</f>
        <v>7181</v>
      </c>
    </row>
    <row r="25" spans="1:4">
      <c r="A25" s="38">
        <v>44468</v>
      </c>
      <c r="B25" s="39" t="s">
        <v>2</v>
      </c>
      <c r="C25" s="39">
        <v>264</v>
      </c>
      <c r="D25" s="50">
        <f>ROUNDUP(INDEX(テーブル!$I$4:$K$6,MATCH(RIGHT(B25,1),テーブル!$H$4:$H$6,0),3)*C25,0)</f>
        <v>8818</v>
      </c>
    </row>
    <row r="26" spans="1:4">
      <c r="A26" s="38">
        <v>44469</v>
      </c>
      <c r="B26" s="39" t="s">
        <v>23</v>
      </c>
      <c r="C26" s="39">
        <v>321</v>
      </c>
      <c r="D26" s="50">
        <f>ROUNDUP(INDEX(テーブル!$I$4:$K$6,MATCH(RIGHT(B26,1),テーブル!$H$4:$H$6,0),3)*C26,0)</f>
        <v>9823</v>
      </c>
    </row>
    <row r="27" spans="1:4" ht="14.25" thickBot="1">
      <c r="A27" s="43">
        <v>44469</v>
      </c>
      <c r="B27" s="44" t="s">
        <v>2</v>
      </c>
      <c r="C27" s="44">
        <v>166</v>
      </c>
      <c r="D27" s="51">
        <f>ROUNDUP(INDEX(テーブル!$I$4:$K$6,MATCH(RIGHT(B27,1),テーブル!$H$4:$H$6,0),3)*C27,0)</f>
        <v>5545</v>
      </c>
    </row>
  </sheetData>
  <sortState xmlns:xlrd2="http://schemas.microsoft.com/office/spreadsheetml/2017/richdata2" ref="A2:C27">
    <sortCondition ref="A2:A27"/>
    <sortCondition ref="B2:B27"/>
  </sortState>
  <phoneticPr fontId="1"/>
  <pageMargins left="0.7" right="0.7" top="0.75" bottom="0.75" header="0.3" footer="0.3"/>
  <pageSetup paperSize="9" orientation="portrait" horizontalDpi="1200" verticalDpi="12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B13"/>
  <sheetViews>
    <sheetView zoomScaleNormal="100" workbookViewId="0">
      <selection sqref="A1:F1"/>
    </sheetView>
  </sheetViews>
  <sheetFormatPr defaultRowHeight="13.5"/>
  <cols>
    <col min="1" max="1" width="7.5" bestFit="1" customWidth="1"/>
    <col min="2" max="2" width="9.5" bestFit="1" customWidth="1"/>
    <col min="3" max="3" width="7.5" bestFit="1" customWidth="1"/>
    <col min="4" max="4" width="10.5" bestFit="1" customWidth="1"/>
    <col min="5" max="5" width="8.5" bestFit="1" customWidth="1"/>
    <col min="6" max="6" width="10.5" bestFit="1" customWidth="1"/>
    <col min="7" max="7" width="5.75" customWidth="1"/>
    <col min="8" max="8" width="7.5" bestFit="1" customWidth="1"/>
    <col min="9" max="9" width="11.625" bestFit="1" customWidth="1"/>
    <col min="10" max="12" width="8.5" bestFit="1" customWidth="1"/>
    <col min="13" max="13" width="9.5" bestFit="1" customWidth="1"/>
    <col min="14" max="14" width="7.5" bestFit="1" customWidth="1"/>
    <col min="15" max="15" width="8.5" bestFit="1" customWidth="1"/>
    <col min="16" max="16" width="6" customWidth="1"/>
  </cols>
  <sheetData>
    <row r="1" spans="1:28" ht="14.25" thickBot="1">
      <c r="A1" s="56" t="s">
        <v>7</v>
      </c>
      <c r="B1" s="56"/>
      <c r="C1" s="56"/>
      <c r="D1" s="56"/>
      <c r="E1" s="56"/>
      <c r="F1" s="56"/>
      <c r="H1" s="56" t="s">
        <v>8</v>
      </c>
      <c r="I1" s="56"/>
      <c r="J1" s="56"/>
      <c r="K1" s="56"/>
      <c r="L1" s="56"/>
      <c r="M1" s="56"/>
      <c r="N1" s="56"/>
      <c r="O1" s="56"/>
    </row>
    <row r="2" spans="1:28">
      <c r="A2" s="29" t="s">
        <v>11</v>
      </c>
      <c r="B2" s="37" t="s">
        <v>14</v>
      </c>
      <c r="C2" s="37" t="s">
        <v>48</v>
      </c>
      <c r="D2" s="37" t="s">
        <v>12</v>
      </c>
      <c r="E2" s="37" t="s">
        <v>15</v>
      </c>
      <c r="F2" s="28" t="s">
        <v>3</v>
      </c>
      <c r="H2" s="30"/>
      <c r="I2" s="31"/>
      <c r="J2" s="57" t="s">
        <v>53</v>
      </c>
      <c r="K2" s="57"/>
      <c r="L2" s="57"/>
      <c r="M2" s="31"/>
      <c r="N2" s="31"/>
      <c r="O2" s="32"/>
    </row>
    <row r="3" spans="1:28">
      <c r="A3" s="5">
        <v>15</v>
      </c>
      <c r="B3" s="2" t="str">
        <f>VLOOKUP(A3,テーブル!$M$3:$N$7,2,0)</f>
        <v>ＹＫ精密</v>
      </c>
      <c r="C3" s="3">
        <f>DSUM(納品データ表!$A$1:$E$40,$C$2,$E$11:$E$12)</f>
        <v>6783</v>
      </c>
      <c r="D3" s="20">
        <f>SUMPRODUCT((納品データ表!$B$2:$B$40=A3)*1,納品データ表!$E$2:$E$40,納品データ表!$D$2:$D$40)</f>
        <v>1064204</v>
      </c>
      <c r="E3" s="3">
        <f>ROUNDDOWN(IF(C3&lt;6000,D3*6%,D3*7%),-1)</f>
        <v>74490</v>
      </c>
      <c r="F3" s="6">
        <f>D3+E3</f>
        <v>1138694</v>
      </c>
      <c r="H3" s="33" t="s">
        <v>9</v>
      </c>
      <c r="I3" s="34" t="s">
        <v>16</v>
      </c>
      <c r="J3" s="36" t="s">
        <v>50</v>
      </c>
      <c r="K3" s="36" t="s">
        <v>51</v>
      </c>
      <c r="L3" s="36" t="s">
        <v>52</v>
      </c>
      <c r="M3" s="34" t="s">
        <v>24</v>
      </c>
      <c r="N3" s="34" t="s">
        <v>17</v>
      </c>
      <c r="O3" s="35" t="s">
        <v>18</v>
      </c>
      <c r="AB3" s="24"/>
    </row>
    <row r="4" spans="1:28">
      <c r="A4" s="5">
        <v>13</v>
      </c>
      <c r="B4" s="2" t="str">
        <f>VLOOKUP(A4,テーブル!$M$3:$N$7,2,0)</f>
        <v>ナカムラ</v>
      </c>
      <c r="C4" s="3">
        <f>DSUM(納品データ表!$A$1:$E$40,$C$2,$C$11:$C$12)</f>
        <v>6003</v>
      </c>
      <c r="D4" s="20">
        <f>SUMPRODUCT((納品データ表!$B$2:$B$40=A4)*1,納品データ表!$E$2:$E$40,納品データ表!$D$2:$D$40)</f>
        <v>943560</v>
      </c>
      <c r="E4" s="3">
        <f>ROUNDDOWN(IF(C4&lt;6000,D4*6%,D4*7%),-1)</f>
        <v>66040</v>
      </c>
      <c r="F4" s="6">
        <f>D4+E4</f>
        <v>1009600</v>
      </c>
      <c r="H4" s="5" t="s">
        <v>2</v>
      </c>
      <c r="I4" s="2" t="str">
        <f>VLOOKUP(H4,テーブル!$P$3:$Q$6,2,0)</f>
        <v>森　ひとみ</v>
      </c>
      <c r="J4" s="3">
        <f ca="1">DSUM(INDIRECT(J$3&amp;"!$A$1:$D$27"),$J$2,$K$11:$K$12)</f>
        <v>95413</v>
      </c>
      <c r="K4" s="3">
        <f ca="1">DSUM(INDIRECT(K$3&amp;"!$A$1:$D$27"),$J$2,$K$11:$K$12)</f>
        <v>0</v>
      </c>
      <c r="L4" s="3">
        <f ca="1">DSUM(INDIRECT(L$3&amp;"!$A$1:$D$27"),$J$2,$K$11:$K$12)</f>
        <v>93758</v>
      </c>
      <c r="M4" s="3">
        <f ca="1">ROUNDDOWN(SUM(J4:L4)*9.5%,-1)</f>
        <v>17970</v>
      </c>
      <c r="N4" s="3">
        <f ca="1">MOD(SUM(J4:L4)+M4,1000)</f>
        <v>141</v>
      </c>
      <c r="O4" s="6">
        <f ca="1">SUM(J4:L4)+M4-N4</f>
        <v>207000</v>
      </c>
      <c r="AB4" s="24"/>
    </row>
    <row r="5" spans="1:28">
      <c r="A5" s="5">
        <v>12</v>
      </c>
      <c r="B5" s="2" t="str">
        <f>VLOOKUP(A5,テーブル!$M$3:$N$7,2,0)</f>
        <v>関東金属</v>
      </c>
      <c r="C5" s="3">
        <f>DSUM(納品データ表!$A$1:$E$40,$C$2,$B$11:$B$12)</f>
        <v>5378</v>
      </c>
      <c r="D5" s="20">
        <f>SUMPRODUCT((納品データ表!$B$2:$B$40=A5)*1,納品データ表!$E$2:$E$40,納品データ表!$D$2:$D$40)</f>
        <v>849002</v>
      </c>
      <c r="E5" s="3">
        <f>ROUNDDOWN(IF(C5&lt;6000,D5*6%,D5*7%),-1)</f>
        <v>50940</v>
      </c>
      <c r="F5" s="6">
        <f>D5+E5</f>
        <v>899942</v>
      </c>
      <c r="H5" s="5" t="s">
        <v>20</v>
      </c>
      <c r="I5" s="2" t="str">
        <f>VLOOKUP(H5,テーブル!$P$3:$Q$6,2,0)</f>
        <v>加山　美佐</v>
      </c>
      <c r="J5" s="3">
        <f ca="1">DSUM(INDIRECT(J$3&amp;"!$A$1:$D$27"),$J$2,$I$11:$I$12)</f>
        <v>0</v>
      </c>
      <c r="K5" s="3">
        <f ca="1">DSUM(INDIRECT(K$3&amp;"!$A$1:$D$27"),$J$2,$I$11:$I$12)</f>
        <v>130818</v>
      </c>
      <c r="L5" s="3">
        <f ca="1">DSUM(INDIRECT(L$3&amp;"!$A$1:$D$27"),$J$2,$I$11:$I$12)</f>
        <v>97504</v>
      </c>
      <c r="M5" s="3">
        <f t="shared" ref="M5:M7" ca="1" si="0">ROUNDDOWN(SUM(J5:L5)*9.5%,-1)</f>
        <v>21690</v>
      </c>
      <c r="N5" s="3">
        <f t="shared" ref="N5:N7" ca="1" si="1">MOD(SUM(J5:L5)+M5,1000)</f>
        <v>12</v>
      </c>
      <c r="O5" s="6">
        <f t="shared" ref="O5:O7" ca="1" si="2">SUM(J5:L5)+M5-N5</f>
        <v>250000</v>
      </c>
      <c r="AB5" s="24"/>
    </row>
    <row r="6" spans="1:28">
      <c r="A6" s="5">
        <v>14</v>
      </c>
      <c r="B6" s="2" t="str">
        <f>VLOOKUP(A6,テーブル!$M$3:$N$7,2,0)</f>
        <v>北山製作</v>
      </c>
      <c r="C6" s="3">
        <f>DSUM(納品データ表!$A$1:$E$40,$C$2,$D$11:$D$12)</f>
        <v>4160</v>
      </c>
      <c r="D6" s="20">
        <f>SUMPRODUCT((納品データ表!$B$2:$B$40=A6)*1,納品データ表!$E$2:$E$40,納品データ表!$D$2:$D$40)</f>
        <v>617798</v>
      </c>
      <c r="E6" s="3">
        <f>ROUNDDOWN(IF(C6&lt;6000,D6*6%,D6*7%),-1)</f>
        <v>37060</v>
      </c>
      <c r="F6" s="6">
        <f>D6+E6</f>
        <v>654858</v>
      </c>
      <c r="H6" s="5" t="s">
        <v>1</v>
      </c>
      <c r="I6" s="2" t="str">
        <f>VLOOKUP(H6,テーブル!$P$3:$Q$6,2,0)</f>
        <v>伊藤　英樹</v>
      </c>
      <c r="J6" s="3">
        <f ca="1">DSUM(INDIRECT(J$3&amp;"!$A$1:$D$27"),$J$2,$H$11:$H$12)</f>
        <v>122559</v>
      </c>
      <c r="K6" s="3">
        <f ca="1">DSUM(INDIRECT(K$3&amp;"!$A$1:$D$27"),$J$2,$H$11:$H$12)</f>
        <v>114014</v>
      </c>
      <c r="L6" s="3">
        <f ca="1">DSUM(INDIRECT(L$3&amp;"!$A$1:$D$27"),$J$2,$H$11:$H$12)</f>
        <v>0</v>
      </c>
      <c r="M6" s="3">
        <f t="shared" ca="1" si="0"/>
        <v>22470</v>
      </c>
      <c r="N6" s="3">
        <f t="shared" ca="1" si="1"/>
        <v>43</v>
      </c>
      <c r="O6" s="6">
        <f t="shared" ca="1" si="2"/>
        <v>259000</v>
      </c>
    </row>
    <row r="7" spans="1:28">
      <c r="A7" s="5">
        <v>11</v>
      </c>
      <c r="B7" s="2" t="str">
        <f>VLOOKUP(A7,テーブル!$M$3:$N$7,2,0)</f>
        <v>井上電機</v>
      </c>
      <c r="C7" s="3">
        <f>DSUM(納品データ表!$A$1:$E$40,$C$2,$A$11:$A$12)</f>
        <v>3930</v>
      </c>
      <c r="D7" s="20">
        <f>SUMPRODUCT((納品データ表!$B$2:$B$40=A7)*1,納品データ表!$E$2:$E$40,納品データ表!$D$2:$D$40)</f>
        <v>618299</v>
      </c>
      <c r="E7" s="3">
        <f>ROUNDDOWN(IF(C7&lt;6000,D7*6%,D7*7%),-1)</f>
        <v>37090</v>
      </c>
      <c r="F7" s="6">
        <f>D7+E7</f>
        <v>655389</v>
      </c>
      <c r="H7" s="5" t="s">
        <v>23</v>
      </c>
      <c r="I7" s="2" t="str">
        <f>VLOOKUP(H7,テーブル!$P$3:$Q$6,2,0)</f>
        <v>久保田　勇</v>
      </c>
      <c r="J7" s="3">
        <f ca="1">DSUM(INDIRECT(J$3&amp;"!$A$1:$D$27"),$J$2,$J$11:$J$12)</f>
        <v>55539</v>
      </c>
      <c r="K7" s="3">
        <f ca="1">DSUM(INDIRECT(K$3&amp;"!$A$1:$D$27"),$J$2,$J$11:$J$12)</f>
        <v>109805</v>
      </c>
      <c r="L7" s="3">
        <f ca="1">DSUM(INDIRECT(L$3&amp;"!$A$1:$D$27"),$J$2,$J$11:$J$12)</f>
        <v>73350</v>
      </c>
      <c r="M7" s="3">
        <f t="shared" ca="1" si="0"/>
        <v>22670</v>
      </c>
      <c r="N7" s="3">
        <f t="shared" ca="1" si="1"/>
        <v>364</v>
      </c>
      <c r="O7" s="6">
        <f t="shared" ca="1" si="2"/>
        <v>261000</v>
      </c>
    </row>
    <row r="8" spans="1:28">
      <c r="A8" s="5"/>
      <c r="B8" s="2"/>
      <c r="C8" s="2"/>
      <c r="D8" s="2"/>
      <c r="E8" s="2"/>
      <c r="F8" s="7"/>
      <c r="H8" s="5"/>
      <c r="I8" s="2"/>
      <c r="J8" s="2"/>
      <c r="K8" s="2"/>
      <c r="L8" s="2"/>
      <c r="M8" s="2"/>
      <c r="N8" s="2"/>
      <c r="O8" s="7"/>
    </row>
    <row r="9" spans="1:28" ht="14.25" thickBot="1">
      <c r="A9" s="8"/>
      <c r="B9" s="9" t="s">
        <v>0</v>
      </c>
      <c r="C9" s="10">
        <f>SUM(C3:C7)</f>
        <v>26254</v>
      </c>
      <c r="D9" s="10">
        <f>SUM(D3:D7)</f>
        <v>4092863</v>
      </c>
      <c r="E9" s="10">
        <f>SUM(E3:E7)</f>
        <v>265620</v>
      </c>
      <c r="F9" s="13">
        <f>SUM(F3:F7)</f>
        <v>4358483</v>
      </c>
      <c r="H9" s="8"/>
      <c r="I9" s="9" t="s">
        <v>0</v>
      </c>
      <c r="J9" s="10">
        <f t="shared" ref="J9:O9" ca="1" si="3">SUM(J4:J7)</f>
        <v>273511</v>
      </c>
      <c r="K9" s="10">
        <f t="shared" ca="1" si="3"/>
        <v>354637</v>
      </c>
      <c r="L9" s="10">
        <f t="shared" ca="1" si="3"/>
        <v>264612</v>
      </c>
      <c r="M9" s="10">
        <f t="shared" ca="1" si="3"/>
        <v>84800</v>
      </c>
      <c r="N9" s="10">
        <f t="shared" ca="1" si="3"/>
        <v>560</v>
      </c>
      <c r="O9" s="13">
        <f t="shared" ca="1" si="3"/>
        <v>977000</v>
      </c>
    </row>
    <row r="10" spans="1:28" ht="14.25" thickBot="1"/>
    <row r="11" spans="1:28">
      <c r="A11" s="14" t="s">
        <v>11</v>
      </c>
      <c r="B11" s="11" t="s">
        <v>11</v>
      </c>
      <c r="C11" s="16" t="s">
        <v>11</v>
      </c>
      <c r="D11" s="16" t="s">
        <v>11</v>
      </c>
      <c r="E11" s="16" t="s">
        <v>11</v>
      </c>
      <c r="H11" s="14" t="s">
        <v>9</v>
      </c>
      <c r="I11" s="11" t="s">
        <v>9</v>
      </c>
      <c r="J11" s="16" t="s">
        <v>9</v>
      </c>
      <c r="K11" s="16" t="s">
        <v>9</v>
      </c>
    </row>
    <row r="12" spans="1:28" ht="14.25" thickBot="1">
      <c r="A12" s="15">
        <v>11</v>
      </c>
      <c r="B12" s="12">
        <v>12</v>
      </c>
      <c r="C12" s="17">
        <v>13</v>
      </c>
      <c r="D12" s="17">
        <v>14</v>
      </c>
      <c r="E12" s="17">
        <v>15</v>
      </c>
      <c r="H12" s="15" t="s">
        <v>1</v>
      </c>
      <c r="I12" s="12" t="s">
        <v>20</v>
      </c>
      <c r="J12" s="17" t="s">
        <v>23</v>
      </c>
      <c r="K12" s="17" t="s">
        <v>2</v>
      </c>
    </row>
    <row r="13" spans="1:28">
      <c r="N13" s="19"/>
    </row>
  </sheetData>
  <sortState xmlns:xlrd2="http://schemas.microsoft.com/office/spreadsheetml/2017/richdata2" ref="H4:O7">
    <sortCondition ref="O4:O7"/>
  </sortState>
  <mergeCells count="3">
    <mergeCell ref="A1:F1"/>
    <mergeCell ref="H1:O1"/>
    <mergeCell ref="J2:L2"/>
  </mergeCells>
  <phoneticPr fontId="1"/>
  <printOptions headings="1"/>
  <pageMargins left="0.70866141732283472" right="0.70866141732283472" top="0.74803149606299213" bottom="0.74803149606299213" header="0.31496062992125984" footer="0.31496062992125984"/>
  <pageSetup paperSize="9" scale="35" orientation="landscape" horizontalDpi="1200" verticalDpi="1200" r:id="rId1"/>
  <headerFooter>
    <oddHeader>&amp;C&amp;F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6</vt:i4>
      </vt:variant>
    </vt:vector>
  </HeadingPairs>
  <TitlesOfParts>
    <vt:vector size="6" baseType="lpstr">
      <vt:lpstr>テーブル</vt:lpstr>
      <vt:lpstr>納品データ表</vt:lpstr>
      <vt:lpstr>部品R</vt:lpstr>
      <vt:lpstr>部品S</vt:lpstr>
      <vt:lpstr>部品T</vt:lpstr>
      <vt:lpstr>計算表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日本情報処理検定協会</dc:creator>
  <cp:lastPrinted>2020-10-22T00:25:14Z</cp:lastPrinted>
  <dcterms:created xsi:type="dcterms:W3CDTF">2019-03-28T01:49:55Z</dcterms:created>
  <dcterms:modified xsi:type="dcterms:W3CDTF">2021-02-19T04:32:17Z</dcterms:modified>
</cp:coreProperties>
</file>