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61212698-5128-4CDD-BD61-C11D8324F27D}" xr6:coauthVersionLast="46" xr6:coauthVersionMax="46" xr10:uidLastSave="{00000000-0000-0000-0000-000000000000}"/>
  <bookViews>
    <workbookView xWindow="3285" yWindow="3090" windowWidth="18000" windowHeight="9360" xr2:uid="{00000000-000D-0000-FFFF-FFFF00000000}"/>
  </bookViews>
  <sheets>
    <sheet name="テーブル" sheetId="9" r:id="rId1"/>
    <sheet name="仕入データ表" sheetId="10" r:id="rId2"/>
    <sheet name="定価計算表" sheetId="11" r:id="rId3"/>
    <sheet name="売上データ表" sheetId="6" r:id="rId4"/>
    <sheet name="請求額計算表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7" l="1"/>
  <c r="C5" i="7"/>
  <c r="C6" i="7"/>
  <c r="C7" i="7"/>
  <c r="C8" i="7"/>
  <c r="C9" i="7"/>
  <c r="C10" i="7"/>
  <c r="C3" i="7"/>
  <c r="E27" i="6"/>
  <c r="G2" i="10" l="1"/>
  <c r="G3" i="10" l="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B4" i="7" l="1"/>
  <c r="B5" i="7"/>
  <c r="B6" i="7"/>
  <c r="B7" i="7"/>
  <c r="B8" i="7"/>
  <c r="B9" i="7"/>
  <c r="B10" i="7"/>
  <c r="B3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" i="6"/>
  <c r="D13" i="6"/>
  <c r="D12" i="6"/>
  <c r="D11" i="6"/>
  <c r="D10" i="6"/>
  <c r="D9" i="6"/>
  <c r="D8" i="6"/>
  <c r="D7" i="6"/>
  <c r="D6" i="6"/>
  <c r="D5" i="6"/>
  <c r="D4" i="6"/>
  <c r="D3" i="6"/>
  <c r="D2" i="6"/>
  <c r="B4" i="11"/>
  <c r="B5" i="11"/>
  <c r="B6" i="11"/>
  <c r="B3" i="11"/>
  <c r="C27" i="10"/>
  <c r="D13" i="10"/>
  <c r="B13" i="10"/>
  <c r="D12" i="10"/>
  <c r="B12" i="10"/>
  <c r="D11" i="10"/>
  <c r="B11" i="10"/>
  <c r="D10" i="10"/>
  <c r="B10" i="10"/>
  <c r="D9" i="10"/>
  <c r="B9" i="10"/>
  <c r="D8" i="10"/>
  <c r="B8" i="10"/>
  <c r="D7" i="10"/>
  <c r="B7" i="10"/>
  <c r="D6" i="10"/>
  <c r="B6" i="10"/>
  <c r="D5" i="10"/>
  <c r="B5" i="10"/>
  <c r="D4" i="10"/>
  <c r="B4" i="10"/>
  <c r="D3" i="10"/>
  <c r="B3" i="10"/>
  <c r="D2" i="10"/>
  <c r="E2" i="10" s="1"/>
  <c r="B2" i="10"/>
  <c r="E4" i="10" l="1"/>
  <c r="F4" i="10" s="1"/>
  <c r="E8" i="10"/>
  <c r="F8" i="10" s="1"/>
  <c r="E12" i="10"/>
  <c r="F12" i="10" s="1"/>
  <c r="E3" i="10"/>
  <c r="F3" i="10" s="1"/>
  <c r="E11" i="10"/>
  <c r="F11" i="10" s="1"/>
  <c r="E7" i="10"/>
  <c r="F7" i="10" s="1"/>
  <c r="E5" i="10"/>
  <c r="F5" i="10" s="1"/>
  <c r="E9" i="10"/>
  <c r="F9" i="10" s="1"/>
  <c r="E13" i="10"/>
  <c r="F13" i="10" s="1"/>
  <c r="E6" i="10"/>
  <c r="F6" i="10" s="1"/>
  <c r="E10" i="10"/>
  <c r="F10" i="10" s="1"/>
  <c r="C6" i="11"/>
  <c r="C5" i="11"/>
  <c r="C4" i="11"/>
  <c r="C3" i="11"/>
  <c r="B15" i="10"/>
  <c r="B16" i="10"/>
  <c r="B17" i="10"/>
  <c r="B18" i="10"/>
  <c r="B19" i="10"/>
  <c r="B20" i="10"/>
  <c r="B21" i="10"/>
  <c r="B22" i="10"/>
  <c r="B23" i="10"/>
  <c r="B24" i="10"/>
  <c r="B25" i="10"/>
  <c r="B14" i="10"/>
  <c r="D15" i="10"/>
  <c r="D16" i="10"/>
  <c r="D17" i="10"/>
  <c r="D18" i="10"/>
  <c r="D19" i="10"/>
  <c r="D20" i="10"/>
  <c r="D21" i="10"/>
  <c r="D22" i="10"/>
  <c r="D23" i="10"/>
  <c r="D24" i="10"/>
  <c r="D25" i="10"/>
  <c r="D14" i="10"/>
  <c r="D15" i="6"/>
  <c r="D16" i="6"/>
  <c r="D17" i="6"/>
  <c r="D18" i="6"/>
  <c r="D19" i="6"/>
  <c r="D20" i="6"/>
  <c r="D21" i="6"/>
  <c r="D22" i="6"/>
  <c r="D23" i="6"/>
  <c r="D24" i="6"/>
  <c r="D25" i="6"/>
  <c r="D14" i="6"/>
  <c r="E25" i="10" l="1"/>
  <c r="E17" i="10"/>
  <c r="F17" i="10" s="1"/>
  <c r="E20" i="10"/>
  <c r="E16" i="10"/>
  <c r="E24" i="10"/>
  <c r="E23" i="10"/>
  <c r="F23" i="10" s="1"/>
  <c r="E19" i="10"/>
  <c r="F19" i="10" s="1"/>
  <c r="E15" i="10"/>
  <c r="F15" i="10" s="1"/>
  <c r="E21" i="10"/>
  <c r="F21" i="10" s="1"/>
  <c r="E14" i="10"/>
  <c r="E22" i="10"/>
  <c r="E18" i="10"/>
  <c r="F2" i="10"/>
  <c r="D27" i="10"/>
  <c r="C8" i="11"/>
  <c r="F25" i="10"/>
  <c r="E4" i="11"/>
  <c r="E27" i="10" l="1"/>
  <c r="E6" i="11"/>
  <c r="D4" i="11"/>
  <c r="F4" i="11" s="1"/>
  <c r="E3" i="11"/>
  <c r="G27" i="10"/>
  <c r="E5" i="11"/>
  <c r="D6" i="11"/>
  <c r="F14" i="10"/>
  <c r="F16" i="10"/>
  <c r="F18" i="10"/>
  <c r="F20" i="10"/>
  <c r="F22" i="10"/>
  <c r="F24" i="10"/>
  <c r="E8" i="11" l="1"/>
  <c r="G4" i="11"/>
  <c r="F27" i="10"/>
  <c r="D5" i="11"/>
  <c r="F6" i="11"/>
  <c r="G6" i="11" s="1"/>
  <c r="D3" i="11"/>
  <c r="F6" i="6" l="1"/>
  <c r="F18" i="6"/>
  <c r="F3" i="6"/>
  <c r="F11" i="6"/>
  <c r="F15" i="6"/>
  <c r="F23" i="6"/>
  <c r="F13" i="6"/>
  <c r="F10" i="6"/>
  <c r="F22" i="6"/>
  <c r="F4" i="6"/>
  <c r="F25" i="6"/>
  <c r="F3" i="11"/>
  <c r="G3" i="11" s="1"/>
  <c r="F2" i="6" s="1"/>
  <c r="D8" i="11"/>
  <c r="F5" i="11"/>
  <c r="G5" i="11" s="1"/>
  <c r="F5" i="6" l="1"/>
  <c r="F17" i="6"/>
  <c r="F14" i="6"/>
  <c r="F8" i="6"/>
  <c r="F20" i="6"/>
  <c r="F9" i="6"/>
  <c r="F21" i="6"/>
  <c r="F7" i="6"/>
  <c r="F19" i="6"/>
  <c r="F12" i="6"/>
  <c r="F16" i="6"/>
  <c r="F24" i="6"/>
  <c r="D6" i="7" l="1"/>
  <c r="E6" i="7" s="1"/>
  <c r="D3" i="7"/>
  <c r="D8" i="7"/>
  <c r="E8" i="7" s="1"/>
  <c r="D9" i="7"/>
  <c r="E9" i="7" s="1"/>
  <c r="D4" i="7"/>
  <c r="E4" i="7" s="1"/>
  <c r="D5" i="7"/>
  <c r="E5" i="7" s="1"/>
  <c r="D7" i="7"/>
  <c r="D10" i="7"/>
  <c r="E10" i="7" s="1"/>
  <c r="E7" i="7" l="1"/>
  <c r="E3" i="7"/>
  <c r="C12" i="7"/>
  <c r="D12" i="7"/>
  <c r="E12" i="7" l="1"/>
</calcChain>
</file>

<file path=xl/sharedStrings.xml><?xml version="1.0" encoding="utf-8"?>
<sst xmlns="http://schemas.openxmlformats.org/spreadsheetml/2006/main" count="106" uniqueCount="52">
  <si>
    <t>商ＣＯ</t>
  </si>
  <si>
    <t>商品名</t>
  </si>
  <si>
    <t>仕入数</t>
  </si>
  <si>
    <t>金額</t>
  </si>
  <si>
    <t>値引額</t>
  </si>
  <si>
    <t>支払額</t>
  </si>
  <si>
    <t>増量数</t>
  </si>
  <si>
    <t>＜商品テーブル＞</t>
  </si>
  <si>
    <t>原価</t>
  </si>
  <si>
    <t>値引率</t>
  </si>
  <si>
    <t>合　計</t>
  </si>
  <si>
    <t>商品別定価計算表</t>
  </si>
  <si>
    <t>利益率</t>
  </si>
  <si>
    <t>定価</t>
  </si>
  <si>
    <t>商ＣＯの下１桁</t>
  </si>
  <si>
    <t>得ＣＯ</t>
  </si>
  <si>
    <t>得意先名</t>
  </si>
  <si>
    <t>売上数</t>
  </si>
  <si>
    <t>売価</t>
  </si>
  <si>
    <t>売上額</t>
  </si>
  <si>
    <t>＜得意先テーブル＞</t>
  </si>
  <si>
    <t>青木食品</t>
  </si>
  <si>
    <t>鈴村商会</t>
  </si>
  <si>
    <t>松島物産</t>
  </si>
  <si>
    <t>ナカムラ</t>
  </si>
  <si>
    <t>得意先別請求額計算表</t>
  </si>
  <si>
    <t>割引額</t>
  </si>
  <si>
    <t>請求額</t>
  </si>
  <si>
    <t>区分</t>
  </si>
  <si>
    <t>割引率</t>
  </si>
  <si>
    <t>加藤企画</t>
    <rPh sb="0" eb="2">
      <t>カトウ</t>
    </rPh>
    <rPh sb="2" eb="4">
      <t>キカク</t>
    </rPh>
    <phoneticPr fontId="1"/>
  </si>
  <si>
    <t>伊藤商店</t>
    <rPh sb="0" eb="2">
      <t>イトウ</t>
    </rPh>
    <rPh sb="2" eb="4">
      <t>ショウテン</t>
    </rPh>
    <phoneticPr fontId="1"/>
  </si>
  <si>
    <t>＜値引率表＞</t>
    <phoneticPr fontId="1"/>
  </si>
  <si>
    <t>＜利益率表＞</t>
    <phoneticPr fontId="1"/>
  </si>
  <si>
    <t>＜割引率テーブル＞</t>
    <phoneticPr fontId="1"/>
  </si>
  <si>
    <t>Ｌ商品</t>
    <phoneticPr fontId="1"/>
  </si>
  <si>
    <t>Ｍ商品</t>
    <phoneticPr fontId="1"/>
  </si>
  <si>
    <t>Ｎ商品</t>
    <phoneticPr fontId="1"/>
  </si>
  <si>
    <t>Ｏ商品</t>
    <phoneticPr fontId="1"/>
  </si>
  <si>
    <t>ＮＪＫＫ</t>
  </si>
  <si>
    <t>トクニチ</t>
  </si>
  <si>
    <t>Q</t>
  </si>
  <si>
    <t>12Q</t>
  </si>
  <si>
    <t>15Q</t>
  </si>
  <si>
    <t>18Q</t>
  </si>
  <si>
    <t>P</t>
  </si>
  <si>
    <t>13P</t>
  </si>
  <si>
    <t>16P</t>
  </si>
  <si>
    <t>17R</t>
  </si>
  <si>
    <t>11R</t>
  </si>
  <si>
    <t>R</t>
  </si>
  <si>
    <t>14R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</si>
</sst>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9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3" fontId="0" fillId="0" borderId="10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38" fontId="0" fillId="0" borderId="10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" fontId="0" fillId="0" borderId="0" xfId="0" applyNumberFormat="1" applyFill="1" applyBorder="1">
      <alignment vertical="center"/>
    </xf>
    <xf numFmtId="0" fontId="0" fillId="0" borderId="0" xfId="0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>
      <alignment vertical="center"/>
    </xf>
    <xf numFmtId="0" fontId="0" fillId="0" borderId="1" xfId="0" applyFill="1" applyBorder="1">
      <alignment vertical="center"/>
    </xf>
    <xf numFmtId="3" fontId="0" fillId="0" borderId="1" xfId="0" applyNumberFormat="1" applyFill="1" applyBorder="1">
      <alignment vertical="center"/>
    </xf>
    <xf numFmtId="3" fontId="0" fillId="0" borderId="10" xfId="0" applyNumberForma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12" xfId="0" applyFill="1" applyBorder="1" applyAlignment="1">
      <alignment horizontal="center" vertical="center"/>
    </xf>
    <xf numFmtId="3" fontId="0" fillId="0" borderId="12" xfId="0" applyNumberFormat="1" applyFill="1" applyBorder="1">
      <alignment vertical="center"/>
    </xf>
    <xf numFmtId="3" fontId="0" fillId="0" borderId="13" xfId="0" applyNumberFormat="1" applyFill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0" xfId="1" applyFont="1" applyFill="1" applyBorder="1">
      <alignment vertical="center"/>
    </xf>
    <xf numFmtId="0" fontId="0" fillId="0" borderId="12" xfId="0" applyFill="1" applyBorder="1">
      <alignment vertical="center"/>
    </xf>
    <xf numFmtId="38" fontId="0" fillId="0" borderId="12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得意先別の集計グラフ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請求額計算表!$E$2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請求額計算表!$B$3:$B$10</c:f>
              <c:strCache>
                <c:ptCount val="8"/>
                <c:pt idx="0">
                  <c:v>加藤企画</c:v>
                </c:pt>
                <c:pt idx="1">
                  <c:v>松島物産</c:v>
                </c:pt>
                <c:pt idx="2">
                  <c:v>ナカムラ</c:v>
                </c:pt>
                <c:pt idx="3">
                  <c:v>伊藤商店</c:v>
                </c:pt>
                <c:pt idx="4">
                  <c:v>青木食品</c:v>
                </c:pt>
                <c:pt idx="5">
                  <c:v>ＮＪＫＫ</c:v>
                </c:pt>
                <c:pt idx="6">
                  <c:v>鈴村商会</c:v>
                </c:pt>
                <c:pt idx="7">
                  <c:v>トクニチ</c:v>
                </c:pt>
              </c:strCache>
            </c:strRef>
          </c:cat>
          <c:val>
            <c:numRef>
              <c:f>請求額計算表!$E$3:$E$10</c:f>
              <c:numCache>
                <c:formatCode>#,##0_);[Red]\(#,##0\)</c:formatCode>
                <c:ptCount val="8"/>
                <c:pt idx="0">
                  <c:v>1278087</c:v>
                </c:pt>
                <c:pt idx="1">
                  <c:v>1315219</c:v>
                </c:pt>
                <c:pt idx="2">
                  <c:v>1365398</c:v>
                </c:pt>
                <c:pt idx="3">
                  <c:v>1328524</c:v>
                </c:pt>
                <c:pt idx="4">
                  <c:v>1315038</c:v>
                </c:pt>
                <c:pt idx="5">
                  <c:v>1344861</c:v>
                </c:pt>
                <c:pt idx="6">
                  <c:v>1245681</c:v>
                </c:pt>
                <c:pt idx="7">
                  <c:v>1308116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89-44A5-B637-C9BEA2070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73152"/>
        <c:axId val="96671616"/>
      </c:barChart>
      <c:lineChart>
        <c:grouping val="standard"/>
        <c:varyColors val="0"/>
        <c:ser>
          <c:idx val="0"/>
          <c:order val="0"/>
          <c:tx>
            <c:strRef>
              <c:f>請求額計算表!$D$2</c:f>
              <c:strCache>
                <c:ptCount val="1"/>
                <c:pt idx="0">
                  <c:v>割引額</c:v>
                </c:pt>
              </c:strCache>
            </c:strRef>
          </c:tx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>
                    <a:alpha val="94000"/>
                  </a:sysClr>
                </a:solidFill>
              </a:ln>
              <a:effectLst/>
            </c:spPr>
          </c:marker>
          <c:cat>
            <c:strRef>
              <c:f>請求額計算表!$B$3:$B$10</c:f>
              <c:strCache>
                <c:ptCount val="8"/>
                <c:pt idx="0">
                  <c:v>加藤企画</c:v>
                </c:pt>
                <c:pt idx="1">
                  <c:v>松島物産</c:v>
                </c:pt>
                <c:pt idx="2">
                  <c:v>ナカムラ</c:v>
                </c:pt>
                <c:pt idx="3">
                  <c:v>伊藤商店</c:v>
                </c:pt>
                <c:pt idx="4">
                  <c:v>青木食品</c:v>
                </c:pt>
                <c:pt idx="5">
                  <c:v>ＮＪＫＫ</c:v>
                </c:pt>
                <c:pt idx="6">
                  <c:v>鈴村商会</c:v>
                </c:pt>
                <c:pt idx="7">
                  <c:v>トクニチ</c:v>
                </c:pt>
              </c:strCache>
            </c:strRef>
          </c:cat>
          <c:val>
            <c:numRef>
              <c:f>請求額計算表!$D$3:$D$10</c:f>
              <c:numCache>
                <c:formatCode>#,##0_);[Red]\(#,##0\)</c:formatCode>
                <c:ptCount val="8"/>
                <c:pt idx="0">
                  <c:v>60223</c:v>
                </c:pt>
                <c:pt idx="1">
                  <c:v>56229</c:v>
                </c:pt>
                <c:pt idx="2">
                  <c:v>53934</c:v>
                </c:pt>
                <c:pt idx="3">
                  <c:v>62600</c:v>
                </c:pt>
                <c:pt idx="4">
                  <c:v>56221</c:v>
                </c:pt>
                <c:pt idx="5">
                  <c:v>53123</c:v>
                </c:pt>
                <c:pt idx="6">
                  <c:v>58696</c:v>
                </c:pt>
                <c:pt idx="7">
                  <c:v>55925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BC-4B51-B8EB-09FA7B421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7904"/>
        <c:axId val="96670080"/>
      </c:lineChart>
      <c:catAx>
        <c:axId val="966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0080"/>
        <c:crosses val="autoZero"/>
        <c:auto val="1"/>
        <c:lblAlgn val="ctr"/>
        <c:lblOffset val="100"/>
        <c:noMultiLvlLbl val="0"/>
      </c:catAx>
      <c:valAx>
        <c:axId val="9667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67904"/>
        <c:crosses val="autoZero"/>
        <c:crossBetween val="between"/>
      </c:valAx>
      <c:valAx>
        <c:axId val="9667161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96673152"/>
        <c:crosses val="max"/>
        <c:crossBetween val="between"/>
      </c:valAx>
      <c:catAx>
        <c:axId val="966731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6671616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9525</xdr:rowOff>
    </xdr:from>
    <xdr:to>
      <xdr:col>10</xdr:col>
      <xdr:colOff>647700</xdr:colOff>
      <xdr:row>29</xdr:row>
      <xdr:rowOff>114300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5D0938-44A3-4D94-B2CB-ABB382696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54A4F-2338-4E29-9526-202C477F55C5}">
  <dimension ref="A1:P11"/>
  <sheetViews>
    <sheetView tabSelected="1" workbookViewId="0"/>
  </sheetViews>
  <sheetFormatPr defaultRowHeight="13.5" x14ac:dyDescent="0.15"/>
  <cols>
    <col min="1" max="2" width="7.5" bestFit="1" customWidth="1"/>
    <col min="3" max="3" width="6.5" bestFit="1" customWidth="1"/>
    <col min="4" max="4" width="3.75" customWidth="1"/>
    <col min="5" max="5" width="8.5" bestFit="1" customWidth="1"/>
    <col min="6" max="6" width="7.5" bestFit="1" customWidth="1"/>
    <col min="7" max="7" width="3.75" customWidth="1"/>
    <col min="8" max="8" width="10.5" bestFit="1" customWidth="1"/>
    <col min="9" max="9" width="7.625" customWidth="1"/>
    <col min="10" max="10" width="7.5" customWidth="1"/>
    <col min="11" max="11" width="3.75" customWidth="1"/>
    <col min="12" max="12" width="7.5" bestFit="1" customWidth="1"/>
    <col min="13" max="13" width="9.5" bestFit="1" customWidth="1"/>
    <col min="14" max="14" width="3.75" customWidth="1"/>
    <col min="15" max="15" width="5.5" bestFit="1" customWidth="1"/>
    <col min="16" max="16" width="7.5" bestFit="1" customWidth="1"/>
  </cols>
  <sheetData>
    <row r="1" spans="1:16" x14ac:dyDescent="0.15">
      <c r="A1" t="s">
        <v>7</v>
      </c>
      <c r="E1" t="s">
        <v>32</v>
      </c>
      <c r="H1" t="s">
        <v>33</v>
      </c>
      <c r="L1" t="s">
        <v>20</v>
      </c>
      <c r="O1" t="s">
        <v>34</v>
      </c>
    </row>
    <row r="2" spans="1:16" x14ac:dyDescent="0.15">
      <c r="A2" s="1" t="s">
        <v>0</v>
      </c>
      <c r="B2" s="1" t="s">
        <v>1</v>
      </c>
      <c r="C2" s="1" t="s">
        <v>8</v>
      </c>
      <c r="E2" s="1" t="s">
        <v>3</v>
      </c>
      <c r="F2" s="1" t="s">
        <v>9</v>
      </c>
      <c r="H2" s="41" t="s">
        <v>5</v>
      </c>
      <c r="I2" s="43" t="s">
        <v>14</v>
      </c>
      <c r="J2" s="44"/>
      <c r="L2" s="1" t="s">
        <v>15</v>
      </c>
      <c r="M2" s="1" t="s">
        <v>16</v>
      </c>
      <c r="O2" s="1" t="s">
        <v>28</v>
      </c>
      <c r="P2" s="1" t="s">
        <v>29</v>
      </c>
    </row>
    <row r="3" spans="1:16" x14ac:dyDescent="0.15">
      <c r="A3" s="2">
        <v>101</v>
      </c>
      <c r="B3" s="2" t="s">
        <v>35</v>
      </c>
      <c r="C3" s="3">
        <v>3190</v>
      </c>
      <c r="E3" s="3">
        <v>1</v>
      </c>
      <c r="F3" s="6">
        <v>5.7000000000000002E-2</v>
      </c>
      <c r="H3" s="42"/>
      <c r="I3" s="2">
        <v>1</v>
      </c>
      <c r="J3" s="2">
        <v>2</v>
      </c>
      <c r="L3" s="2" t="s">
        <v>49</v>
      </c>
      <c r="M3" s="2" t="s">
        <v>30</v>
      </c>
      <c r="O3" s="2" t="s">
        <v>45</v>
      </c>
      <c r="P3" s="6">
        <v>3.7999999999999999E-2</v>
      </c>
    </row>
    <row r="4" spans="1:16" x14ac:dyDescent="0.15">
      <c r="A4" s="2">
        <v>102</v>
      </c>
      <c r="B4" s="2" t="s">
        <v>36</v>
      </c>
      <c r="C4" s="3">
        <v>3860</v>
      </c>
      <c r="E4" s="3">
        <v>400000</v>
      </c>
      <c r="F4" s="6">
        <v>6.9000000000000006E-2</v>
      </c>
      <c r="H4" s="5">
        <v>1</v>
      </c>
      <c r="I4" s="4">
        <v>0.3</v>
      </c>
      <c r="J4" s="4">
        <v>0.28999999999999998</v>
      </c>
      <c r="L4" s="2" t="s">
        <v>42</v>
      </c>
      <c r="M4" s="2" t="s">
        <v>23</v>
      </c>
      <c r="O4" s="2" t="s">
        <v>41</v>
      </c>
      <c r="P4" s="6">
        <v>4.1000000000000002E-2</v>
      </c>
    </row>
    <row r="5" spans="1:16" x14ac:dyDescent="0.15">
      <c r="A5" s="2">
        <v>201</v>
      </c>
      <c r="B5" s="2" t="s">
        <v>37</v>
      </c>
      <c r="C5" s="3">
        <v>4180</v>
      </c>
      <c r="E5" s="3">
        <v>500000</v>
      </c>
      <c r="F5" s="6">
        <v>7.3999999999999996E-2</v>
      </c>
      <c r="H5" s="5">
        <v>2500000</v>
      </c>
      <c r="I5" s="4">
        <v>0.28000000000000003</v>
      </c>
      <c r="J5" s="4">
        <v>0.27</v>
      </c>
      <c r="L5" s="2" t="s">
        <v>46</v>
      </c>
      <c r="M5" s="2" t="s">
        <v>24</v>
      </c>
      <c r="O5" s="2" t="s">
        <v>50</v>
      </c>
      <c r="P5" s="6">
        <v>4.4999999999999998E-2</v>
      </c>
    </row>
    <row r="6" spans="1:16" x14ac:dyDescent="0.15">
      <c r="A6" s="2">
        <v>202</v>
      </c>
      <c r="B6" s="2" t="s">
        <v>38</v>
      </c>
      <c r="C6" s="3">
        <v>4610</v>
      </c>
      <c r="L6" s="2" t="s">
        <v>51</v>
      </c>
      <c r="M6" s="2" t="s">
        <v>31</v>
      </c>
    </row>
    <row r="7" spans="1:16" x14ac:dyDescent="0.15">
      <c r="L7" s="2" t="s">
        <v>43</v>
      </c>
      <c r="M7" s="2" t="s">
        <v>21</v>
      </c>
    </row>
    <row r="8" spans="1:16" x14ac:dyDescent="0.15">
      <c r="C8" s="23"/>
      <c r="L8" s="2" t="s">
        <v>47</v>
      </c>
      <c r="M8" s="2" t="s">
        <v>39</v>
      </c>
    </row>
    <row r="9" spans="1:16" x14ac:dyDescent="0.15">
      <c r="C9" s="23"/>
      <c r="L9" s="2" t="s">
        <v>48</v>
      </c>
      <c r="M9" s="2" t="s">
        <v>22</v>
      </c>
    </row>
    <row r="10" spans="1:16" x14ac:dyDescent="0.15">
      <c r="C10" s="23"/>
      <c r="L10" s="2" t="s">
        <v>44</v>
      </c>
      <c r="M10" s="2" t="s">
        <v>40</v>
      </c>
    </row>
    <row r="11" spans="1:16" x14ac:dyDescent="0.15">
      <c r="C11" s="23"/>
    </row>
  </sheetData>
  <sortState xmlns:xlrd2="http://schemas.microsoft.com/office/spreadsheetml/2017/richdata2" ref="O3:P5">
    <sortCondition ref="O3:O5"/>
  </sortState>
  <mergeCells count="2">
    <mergeCell ref="H2:H3"/>
    <mergeCell ref="I2:J2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32E68-0032-4E4A-9C3E-E98C486DE57E}">
  <dimension ref="A1:G27"/>
  <sheetViews>
    <sheetView workbookViewId="0"/>
  </sheetViews>
  <sheetFormatPr defaultRowHeight="13.5" x14ac:dyDescent="0.15"/>
  <cols>
    <col min="1" max="3" width="7.5" bestFit="1" customWidth="1"/>
    <col min="4" max="4" width="11.625" bestFit="1" customWidth="1"/>
    <col min="5" max="5" width="8.5" bestFit="1" customWidth="1"/>
    <col min="6" max="6" width="10.5" bestFit="1" customWidth="1"/>
    <col min="7" max="7" width="7.5" bestFit="1" customWidth="1"/>
  </cols>
  <sheetData>
    <row r="1" spans="1:7" x14ac:dyDescent="0.15">
      <c r="A1" s="25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7" t="s">
        <v>6</v>
      </c>
    </row>
    <row r="2" spans="1:7" x14ac:dyDescent="0.15">
      <c r="A2" s="28">
        <v>101</v>
      </c>
      <c r="B2" s="29" t="str">
        <f>VLOOKUP(A2,テーブル!$A$3:$C$6,2,0)</f>
        <v>Ｌ商品</v>
      </c>
      <c r="C2" s="30">
        <v>134</v>
      </c>
      <c r="D2" s="30">
        <f>VLOOKUP(A2,テーブル!$A$3:$C$6,3,0)*C2</f>
        <v>427460</v>
      </c>
      <c r="E2" s="30">
        <f>ROUND(D2*VLOOKUP(D2,テーブル!$E$3:$F$5,2,1),-1)</f>
        <v>29490</v>
      </c>
      <c r="F2" s="30">
        <f t="shared" ref="F2:F25" si="0">D2-E2</f>
        <v>397970</v>
      </c>
      <c r="G2" s="31">
        <f>ROUNDUP(IF(C2&gt;=120,C2*4.5%,C2*3.4%),0)</f>
        <v>7</v>
      </c>
    </row>
    <row r="3" spans="1:7" x14ac:dyDescent="0.15">
      <c r="A3" s="28">
        <v>102</v>
      </c>
      <c r="B3" s="29" t="str">
        <f>VLOOKUP(A3,テーブル!$A$3:$C$6,2,0)</f>
        <v>Ｍ商品</v>
      </c>
      <c r="C3" s="30">
        <v>89</v>
      </c>
      <c r="D3" s="30">
        <f>VLOOKUP(A3,テーブル!$A$3:$C$6,3,0)*C3</f>
        <v>343540</v>
      </c>
      <c r="E3" s="30">
        <f>ROUND(D3*VLOOKUP(D3,テーブル!$E$3:$F$5,2,1),-1)</f>
        <v>19580</v>
      </c>
      <c r="F3" s="30">
        <f t="shared" si="0"/>
        <v>323960</v>
      </c>
      <c r="G3" s="31">
        <f t="shared" ref="G3:G25" si="1">ROUNDUP(IF(C3&gt;=120,C3*4.5%,C3*3.4%),0)</f>
        <v>4</v>
      </c>
    </row>
    <row r="4" spans="1:7" x14ac:dyDescent="0.15">
      <c r="A4" s="28">
        <v>201</v>
      </c>
      <c r="B4" s="29" t="str">
        <f>VLOOKUP(A4,テーブル!$A$3:$C$6,2,0)</f>
        <v>Ｎ商品</v>
      </c>
      <c r="C4" s="30">
        <v>93</v>
      </c>
      <c r="D4" s="30">
        <f>VLOOKUP(A4,テーブル!$A$3:$C$6,3,0)*C4</f>
        <v>388740</v>
      </c>
      <c r="E4" s="30">
        <f>ROUND(D4*VLOOKUP(D4,テーブル!$E$3:$F$5,2,1),-1)</f>
        <v>22160</v>
      </c>
      <c r="F4" s="30">
        <f t="shared" si="0"/>
        <v>366580</v>
      </c>
      <c r="G4" s="31">
        <f t="shared" si="1"/>
        <v>4</v>
      </c>
    </row>
    <row r="5" spans="1:7" x14ac:dyDescent="0.15">
      <c r="A5" s="28">
        <v>202</v>
      </c>
      <c r="B5" s="29" t="str">
        <f>VLOOKUP(A5,テーブル!$A$3:$C$6,2,0)</f>
        <v>Ｏ商品</v>
      </c>
      <c r="C5" s="30">
        <v>105</v>
      </c>
      <c r="D5" s="30">
        <f>VLOOKUP(A5,テーブル!$A$3:$C$6,3,0)*C5</f>
        <v>484050</v>
      </c>
      <c r="E5" s="30">
        <f>ROUND(D5*VLOOKUP(D5,テーブル!$E$3:$F$5,2,1),-1)</f>
        <v>33400</v>
      </c>
      <c r="F5" s="30">
        <f t="shared" si="0"/>
        <v>450650</v>
      </c>
      <c r="G5" s="31">
        <f t="shared" si="1"/>
        <v>4</v>
      </c>
    </row>
    <row r="6" spans="1:7" x14ac:dyDescent="0.15">
      <c r="A6" s="28">
        <v>101</v>
      </c>
      <c r="B6" s="29" t="str">
        <f>VLOOKUP(A6,テーブル!$A$3:$C$6,2,0)</f>
        <v>Ｌ商品</v>
      </c>
      <c r="C6" s="30">
        <v>120</v>
      </c>
      <c r="D6" s="30">
        <f>VLOOKUP(A6,テーブル!$A$3:$C$6,3,0)*C6</f>
        <v>382800</v>
      </c>
      <c r="E6" s="30">
        <f>ROUND(D6*VLOOKUP(D6,テーブル!$E$3:$F$5,2,1),-1)</f>
        <v>21820</v>
      </c>
      <c r="F6" s="30">
        <f t="shared" si="0"/>
        <v>360980</v>
      </c>
      <c r="G6" s="31">
        <f t="shared" si="1"/>
        <v>6</v>
      </c>
    </row>
    <row r="7" spans="1:7" x14ac:dyDescent="0.15">
      <c r="A7" s="28">
        <v>102</v>
      </c>
      <c r="B7" s="29" t="str">
        <f>VLOOKUP(A7,テーブル!$A$3:$C$6,2,0)</f>
        <v>Ｍ商品</v>
      </c>
      <c r="C7" s="30">
        <v>130</v>
      </c>
      <c r="D7" s="30">
        <f>VLOOKUP(A7,テーブル!$A$3:$C$6,3,0)*C7</f>
        <v>501800</v>
      </c>
      <c r="E7" s="30">
        <f>ROUND(D7*VLOOKUP(D7,テーブル!$E$3:$F$5,2,1),-1)</f>
        <v>37130</v>
      </c>
      <c r="F7" s="30">
        <f t="shared" si="0"/>
        <v>464670</v>
      </c>
      <c r="G7" s="31">
        <f t="shared" si="1"/>
        <v>6</v>
      </c>
    </row>
    <row r="8" spans="1:7" x14ac:dyDescent="0.15">
      <c r="A8" s="28">
        <v>201</v>
      </c>
      <c r="B8" s="29" t="str">
        <f>VLOOKUP(A8,テーブル!$A$3:$C$6,2,0)</f>
        <v>Ｎ商品</v>
      </c>
      <c r="C8" s="30">
        <v>129</v>
      </c>
      <c r="D8" s="30">
        <f>VLOOKUP(A8,テーブル!$A$3:$C$6,3,0)*C8</f>
        <v>539220</v>
      </c>
      <c r="E8" s="30">
        <f>ROUND(D8*VLOOKUP(D8,テーブル!$E$3:$F$5,2,1),-1)</f>
        <v>39900</v>
      </c>
      <c r="F8" s="30">
        <f t="shared" si="0"/>
        <v>499320</v>
      </c>
      <c r="G8" s="31">
        <f t="shared" si="1"/>
        <v>6</v>
      </c>
    </row>
    <row r="9" spans="1:7" x14ac:dyDescent="0.15">
      <c r="A9" s="28">
        <v>202</v>
      </c>
      <c r="B9" s="29" t="str">
        <f>VLOOKUP(A9,テーブル!$A$3:$C$6,2,0)</f>
        <v>Ｏ商品</v>
      </c>
      <c r="C9" s="30">
        <v>94</v>
      </c>
      <c r="D9" s="30">
        <f>VLOOKUP(A9,テーブル!$A$3:$C$6,3,0)*C9</f>
        <v>433340</v>
      </c>
      <c r="E9" s="30">
        <f>ROUND(D9*VLOOKUP(D9,テーブル!$E$3:$F$5,2,1),-1)</f>
        <v>29900</v>
      </c>
      <c r="F9" s="30">
        <f t="shared" si="0"/>
        <v>403440</v>
      </c>
      <c r="G9" s="31">
        <f t="shared" si="1"/>
        <v>4</v>
      </c>
    </row>
    <row r="10" spans="1:7" x14ac:dyDescent="0.15">
      <c r="A10" s="28">
        <v>101</v>
      </c>
      <c r="B10" s="29" t="str">
        <f>VLOOKUP(A10,テーブル!$A$3:$C$6,2,0)</f>
        <v>Ｌ商品</v>
      </c>
      <c r="C10" s="30">
        <v>131</v>
      </c>
      <c r="D10" s="30">
        <f>VLOOKUP(A10,テーブル!$A$3:$C$6,3,0)*C10</f>
        <v>417890</v>
      </c>
      <c r="E10" s="30">
        <f>ROUND(D10*VLOOKUP(D10,テーブル!$E$3:$F$5,2,1),-1)</f>
        <v>28830</v>
      </c>
      <c r="F10" s="30">
        <f t="shared" si="0"/>
        <v>389060</v>
      </c>
      <c r="G10" s="31">
        <f t="shared" si="1"/>
        <v>6</v>
      </c>
    </row>
    <row r="11" spans="1:7" x14ac:dyDescent="0.15">
      <c r="A11" s="28">
        <v>102</v>
      </c>
      <c r="B11" s="29" t="str">
        <f>VLOOKUP(A11,テーブル!$A$3:$C$6,2,0)</f>
        <v>Ｍ商品</v>
      </c>
      <c r="C11" s="30">
        <v>106</v>
      </c>
      <c r="D11" s="30">
        <f>VLOOKUP(A11,テーブル!$A$3:$C$6,3,0)*C11</f>
        <v>409160</v>
      </c>
      <c r="E11" s="30">
        <f>ROUND(D11*VLOOKUP(D11,テーブル!$E$3:$F$5,2,1),-1)</f>
        <v>28230</v>
      </c>
      <c r="F11" s="30">
        <f t="shared" si="0"/>
        <v>380930</v>
      </c>
      <c r="G11" s="31">
        <f t="shared" si="1"/>
        <v>4</v>
      </c>
    </row>
    <row r="12" spans="1:7" x14ac:dyDescent="0.15">
      <c r="A12" s="28">
        <v>201</v>
      </c>
      <c r="B12" s="29" t="str">
        <f>VLOOKUP(A12,テーブル!$A$3:$C$6,2,0)</f>
        <v>Ｎ商品</v>
      </c>
      <c r="C12" s="30">
        <v>87</v>
      </c>
      <c r="D12" s="30">
        <f>VLOOKUP(A12,テーブル!$A$3:$C$6,3,0)*C12</f>
        <v>363660</v>
      </c>
      <c r="E12" s="30">
        <f>ROUND(D12*VLOOKUP(D12,テーブル!$E$3:$F$5,2,1),-1)</f>
        <v>20730</v>
      </c>
      <c r="F12" s="30">
        <f t="shared" si="0"/>
        <v>342930</v>
      </c>
      <c r="G12" s="31">
        <f t="shared" si="1"/>
        <v>3</v>
      </c>
    </row>
    <row r="13" spans="1:7" x14ac:dyDescent="0.15">
      <c r="A13" s="28">
        <v>202</v>
      </c>
      <c r="B13" s="29" t="str">
        <f>VLOOKUP(A13,テーブル!$A$3:$C$6,2,0)</f>
        <v>Ｏ商品</v>
      </c>
      <c r="C13" s="30">
        <v>96</v>
      </c>
      <c r="D13" s="30">
        <f>VLOOKUP(A13,テーブル!$A$3:$C$6,3,0)*C13</f>
        <v>442560</v>
      </c>
      <c r="E13" s="30">
        <f>ROUND(D13*VLOOKUP(D13,テーブル!$E$3:$F$5,2,1),-1)</f>
        <v>30540</v>
      </c>
      <c r="F13" s="30">
        <f t="shared" si="0"/>
        <v>412020</v>
      </c>
      <c r="G13" s="31">
        <f t="shared" si="1"/>
        <v>4</v>
      </c>
    </row>
    <row r="14" spans="1:7" x14ac:dyDescent="0.15">
      <c r="A14" s="28">
        <v>101</v>
      </c>
      <c r="B14" s="29" t="str">
        <f>VLOOKUP(A14,テーブル!$A$3:$C$6,2,0)</f>
        <v>Ｌ商品</v>
      </c>
      <c r="C14" s="30">
        <v>83</v>
      </c>
      <c r="D14" s="30">
        <f>VLOOKUP(A14,テーブル!$A$3:$C$6,3,0)*C14</f>
        <v>264770</v>
      </c>
      <c r="E14" s="30">
        <f>ROUND(D14*VLOOKUP(D14,テーブル!$E$3:$F$5,2,1),-1)</f>
        <v>15090</v>
      </c>
      <c r="F14" s="30">
        <f t="shared" si="0"/>
        <v>249680</v>
      </c>
      <c r="G14" s="31">
        <f t="shared" si="1"/>
        <v>3</v>
      </c>
    </row>
    <row r="15" spans="1:7" x14ac:dyDescent="0.15">
      <c r="A15" s="28">
        <v>102</v>
      </c>
      <c r="B15" s="29" t="str">
        <f>VLOOKUP(A15,テーブル!$A$3:$C$6,2,0)</f>
        <v>Ｍ商品</v>
      </c>
      <c r="C15" s="30">
        <v>111</v>
      </c>
      <c r="D15" s="30">
        <f>VLOOKUP(A15,テーブル!$A$3:$C$6,3,0)*C15</f>
        <v>428460</v>
      </c>
      <c r="E15" s="30">
        <f>ROUND(D15*VLOOKUP(D15,テーブル!$E$3:$F$5,2,1),-1)</f>
        <v>29560</v>
      </c>
      <c r="F15" s="30">
        <f t="shared" si="0"/>
        <v>398900</v>
      </c>
      <c r="G15" s="31">
        <f t="shared" si="1"/>
        <v>4</v>
      </c>
    </row>
    <row r="16" spans="1:7" x14ac:dyDescent="0.15">
      <c r="A16" s="28">
        <v>201</v>
      </c>
      <c r="B16" s="29" t="str">
        <f>VLOOKUP(A16,テーブル!$A$3:$C$6,2,0)</f>
        <v>Ｎ商品</v>
      </c>
      <c r="C16" s="30">
        <v>128</v>
      </c>
      <c r="D16" s="30">
        <f>VLOOKUP(A16,テーブル!$A$3:$C$6,3,0)*C16</f>
        <v>535040</v>
      </c>
      <c r="E16" s="30">
        <f>ROUND(D16*VLOOKUP(D16,テーブル!$E$3:$F$5,2,1),-1)</f>
        <v>39590</v>
      </c>
      <c r="F16" s="30">
        <f t="shared" si="0"/>
        <v>495450</v>
      </c>
      <c r="G16" s="31">
        <f t="shared" si="1"/>
        <v>6</v>
      </c>
    </row>
    <row r="17" spans="1:7" x14ac:dyDescent="0.15">
      <c r="A17" s="28">
        <v>202</v>
      </c>
      <c r="B17" s="29" t="str">
        <f>VLOOKUP(A17,テーブル!$A$3:$C$6,2,0)</f>
        <v>Ｏ商品</v>
      </c>
      <c r="C17" s="30">
        <v>85</v>
      </c>
      <c r="D17" s="30">
        <f>VLOOKUP(A17,テーブル!$A$3:$C$6,3,0)*C17</f>
        <v>391850</v>
      </c>
      <c r="E17" s="30">
        <f>ROUND(D17*VLOOKUP(D17,テーブル!$E$3:$F$5,2,1),-1)</f>
        <v>22340</v>
      </c>
      <c r="F17" s="30">
        <f t="shared" si="0"/>
        <v>369510</v>
      </c>
      <c r="G17" s="31">
        <f t="shared" si="1"/>
        <v>3</v>
      </c>
    </row>
    <row r="18" spans="1:7" x14ac:dyDescent="0.15">
      <c r="A18" s="28">
        <v>101</v>
      </c>
      <c r="B18" s="29" t="str">
        <f>VLOOKUP(A18,テーブル!$A$3:$C$6,2,0)</f>
        <v>Ｌ商品</v>
      </c>
      <c r="C18" s="30">
        <v>238</v>
      </c>
      <c r="D18" s="30">
        <f>VLOOKUP(A18,テーブル!$A$3:$C$6,3,0)*C18</f>
        <v>759220</v>
      </c>
      <c r="E18" s="30">
        <f>ROUND(D18*VLOOKUP(D18,テーブル!$E$3:$F$5,2,1),-1)</f>
        <v>56180</v>
      </c>
      <c r="F18" s="30">
        <f t="shared" si="0"/>
        <v>703040</v>
      </c>
      <c r="G18" s="31">
        <f t="shared" si="1"/>
        <v>11</v>
      </c>
    </row>
    <row r="19" spans="1:7" x14ac:dyDescent="0.15">
      <c r="A19" s="28">
        <v>102</v>
      </c>
      <c r="B19" s="29" t="str">
        <f>VLOOKUP(A19,テーブル!$A$3:$C$6,2,0)</f>
        <v>Ｍ商品</v>
      </c>
      <c r="C19" s="30">
        <v>53</v>
      </c>
      <c r="D19" s="30">
        <f>VLOOKUP(A19,テーブル!$A$3:$C$6,3,0)*C19</f>
        <v>204580</v>
      </c>
      <c r="E19" s="30">
        <f>ROUND(D19*VLOOKUP(D19,テーブル!$E$3:$F$5,2,1),-1)</f>
        <v>11660</v>
      </c>
      <c r="F19" s="30">
        <f t="shared" si="0"/>
        <v>192920</v>
      </c>
      <c r="G19" s="31">
        <f t="shared" si="1"/>
        <v>2</v>
      </c>
    </row>
    <row r="20" spans="1:7" x14ac:dyDescent="0.15">
      <c r="A20" s="28">
        <v>201</v>
      </c>
      <c r="B20" s="29" t="str">
        <f>VLOOKUP(A20,テーブル!$A$3:$C$6,2,0)</f>
        <v>Ｎ商品</v>
      </c>
      <c r="C20" s="30">
        <v>142</v>
      </c>
      <c r="D20" s="30">
        <f>VLOOKUP(A20,テーブル!$A$3:$C$6,3,0)*C20</f>
        <v>593560</v>
      </c>
      <c r="E20" s="30">
        <f>ROUND(D20*VLOOKUP(D20,テーブル!$E$3:$F$5,2,1),-1)</f>
        <v>43920</v>
      </c>
      <c r="F20" s="30">
        <f t="shared" si="0"/>
        <v>549640</v>
      </c>
      <c r="G20" s="31">
        <f t="shared" si="1"/>
        <v>7</v>
      </c>
    </row>
    <row r="21" spans="1:7" x14ac:dyDescent="0.15">
      <c r="A21" s="28">
        <v>202</v>
      </c>
      <c r="B21" s="29" t="str">
        <f>VLOOKUP(A21,テーブル!$A$3:$C$6,2,0)</f>
        <v>Ｏ商品</v>
      </c>
      <c r="C21" s="30">
        <v>81</v>
      </c>
      <c r="D21" s="30">
        <f>VLOOKUP(A21,テーブル!$A$3:$C$6,3,0)*C21</f>
        <v>373410</v>
      </c>
      <c r="E21" s="30">
        <f>ROUND(D21*VLOOKUP(D21,テーブル!$E$3:$F$5,2,1),-1)</f>
        <v>21280</v>
      </c>
      <c r="F21" s="30">
        <f t="shared" si="0"/>
        <v>352130</v>
      </c>
      <c r="G21" s="31">
        <f t="shared" si="1"/>
        <v>3</v>
      </c>
    </row>
    <row r="22" spans="1:7" x14ac:dyDescent="0.15">
      <c r="A22" s="28">
        <v>101</v>
      </c>
      <c r="B22" s="29" t="str">
        <f>VLOOKUP(A22,テーブル!$A$3:$C$6,2,0)</f>
        <v>Ｌ商品</v>
      </c>
      <c r="C22" s="30">
        <v>113</v>
      </c>
      <c r="D22" s="30">
        <f>VLOOKUP(A22,テーブル!$A$3:$C$6,3,0)*C22</f>
        <v>360470</v>
      </c>
      <c r="E22" s="30">
        <f>ROUND(D22*VLOOKUP(D22,テーブル!$E$3:$F$5,2,1),-1)</f>
        <v>20550</v>
      </c>
      <c r="F22" s="30">
        <f t="shared" si="0"/>
        <v>339920</v>
      </c>
      <c r="G22" s="31">
        <f t="shared" si="1"/>
        <v>4</v>
      </c>
    </row>
    <row r="23" spans="1:7" x14ac:dyDescent="0.15">
      <c r="A23" s="28">
        <v>102</v>
      </c>
      <c r="B23" s="29" t="str">
        <f>VLOOKUP(A23,テーブル!$A$3:$C$6,2,0)</f>
        <v>Ｍ商品</v>
      </c>
      <c r="C23" s="30">
        <v>128</v>
      </c>
      <c r="D23" s="30">
        <f>VLOOKUP(A23,テーブル!$A$3:$C$6,3,0)*C23</f>
        <v>494080</v>
      </c>
      <c r="E23" s="30">
        <f>ROUND(D23*VLOOKUP(D23,テーブル!$E$3:$F$5,2,1),-1)</f>
        <v>34090</v>
      </c>
      <c r="F23" s="30">
        <f t="shared" si="0"/>
        <v>459990</v>
      </c>
      <c r="G23" s="31">
        <f t="shared" si="1"/>
        <v>6</v>
      </c>
    </row>
    <row r="24" spans="1:7" x14ac:dyDescent="0.15">
      <c r="A24" s="28">
        <v>201</v>
      </c>
      <c r="B24" s="29" t="str">
        <f>VLOOKUP(A24,テーブル!$A$3:$C$6,2,0)</f>
        <v>Ｎ商品</v>
      </c>
      <c r="C24" s="30">
        <v>81</v>
      </c>
      <c r="D24" s="30">
        <f>VLOOKUP(A24,テーブル!$A$3:$C$6,3,0)*C24</f>
        <v>338580</v>
      </c>
      <c r="E24" s="30">
        <f>ROUND(D24*VLOOKUP(D24,テーブル!$E$3:$F$5,2,1),-1)</f>
        <v>19300</v>
      </c>
      <c r="F24" s="30">
        <f t="shared" si="0"/>
        <v>319280</v>
      </c>
      <c r="G24" s="31">
        <f t="shared" si="1"/>
        <v>3</v>
      </c>
    </row>
    <row r="25" spans="1:7" x14ac:dyDescent="0.15">
      <c r="A25" s="28">
        <v>202</v>
      </c>
      <c r="B25" s="29" t="str">
        <f>VLOOKUP(A25,テーブル!$A$3:$C$6,2,0)</f>
        <v>Ｏ商品</v>
      </c>
      <c r="C25" s="30">
        <v>137</v>
      </c>
      <c r="D25" s="30">
        <f>VLOOKUP(A25,テーブル!$A$3:$C$6,3,0)*C25</f>
        <v>631570</v>
      </c>
      <c r="E25" s="30">
        <f>ROUND(D25*VLOOKUP(D25,テーブル!$E$3:$F$5,2,1),-1)</f>
        <v>46740</v>
      </c>
      <c r="F25" s="30">
        <f t="shared" si="0"/>
        <v>584830</v>
      </c>
      <c r="G25" s="31">
        <f t="shared" si="1"/>
        <v>7</v>
      </c>
    </row>
    <row r="26" spans="1:7" x14ac:dyDescent="0.15">
      <c r="A26" s="28"/>
      <c r="B26" s="29"/>
      <c r="C26" s="30"/>
      <c r="D26" s="30"/>
      <c r="E26" s="30"/>
      <c r="F26" s="30"/>
      <c r="G26" s="31"/>
    </row>
    <row r="27" spans="1:7" ht="14.25" thickBot="1" x14ac:dyDescent="0.2">
      <c r="A27" s="32"/>
      <c r="B27" s="33" t="s">
        <v>10</v>
      </c>
      <c r="C27" s="34">
        <f>SUM(C2:C25)</f>
        <v>2694</v>
      </c>
      <c r="D27" s="34">
        <f t="shared" ref="D27:G27" si="2">SUM(D2:D25)</f>
        <v>10509810</v>
      </c>
      <c r="E27" s="34">
        <f t="shared" si="2"/>
        <v>702010</v>
      </c>
      <c r="F27" s="34">
        <f t="shared" si="2"/>
        <v>9807800</v>
      </c>
      <c r="G27" s="35">
        <f t="shared" si="2"/>
        <v>117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C2EDE-920D-4F47-B286-E957D811BA6F}">
  <dimension ref="A1:G11"/>
  <sheetViews>
    <sheetView zoomScaleNormal="100" workbookViewId="0">
      <selection sqref="A1:G1"/>
    </sheetView>
  </sheetViews>
  <sheetFormatPr defaultRowHeight="13.5" x14ac:dyDescent="0.15"/>
  <cols>
    <col min="1" max="3" width="7.5" bestFit="1" customWidth="1"/>
    <col min="4" max="4" width="10.5" bestFit="1" customWidth="1"/>
    <col min="5" max="6" width="7.5" bestFit="1" customWidth="1"/>
    <col min="7" max="7" width="6.5" bestFit="1" customWidth="1"/>
  </cols>
  <sheetData>
    <row r="1" spans="1:7" ht="14.25" thickBot="1" x14ac:dyDescent="0.2">
      <c r="A1" s="45" t="s">
        <v>11</v>
      </c>
      <c r="B1" s="45"/>
      <c r="C1" s="45"/>
      <c r="D1" s="45"/>
      <c r="E1" s="45"/>
      <c r="F1" s="45"/>
      <c r="G1" s="45"/>
    </row>
    <row r="2" spans="1:7" x14ac:dyDescent="0.15">
      <c r="A2" s="7" t="s">
        <v>0</v>
      </c>
      <c r="B2" s="8" t="s">
        <v>1</v>
      </c>
      <c r="C2" s="8" t="s">
        <v>2</v>
      </c>
      <c r="D2" s="8" t="s">
        <v>5</v>
      </c>
      <c r="E2" s="8" t="s">
        <v>6</v>
      </c>
      <c r="F2" s="8" t="s">
        <v>12</v>
      </c>
      <c r="G2" s="9" t="s">
        <v>13</v>
      </c>
    </row>
    <row r="3" spans="1:7" x14ac:dyDescent="0.15">
      <c r="A3" s="10">
        <v>101</v>
      </c>
      <c r="B3" s="2" t="str">
        <f>VLOOKUP(A3,テーブル!$A$3:$C$6,2,0)</f>
        <v>Ｌ商品</v>
      </c>
      <c r="C3" s="3">
        <f>DSUM(仕入データ表!$A$1:$G$25,C$2,$A$10:$A$11)</f>
        <v>819</v>
      </c>
      <c r="D3" s="3">
        <f>DSUM(仕入データ表!$A$1:$G$25,D$2,$A$10:$A$11)</f>
        <v>2440650</v>
      </c>
      <c r="E3" s="3">
        <f>DSUM(仕入データ表!$A$1:$G$25,E$2,$A$10:$A$11)</f>
        <v>37</v>
      </c>
      <c r="F3" s="4">
        <f>VLOOKUP(D3,テーブル!$H$4:$J$5,MOD(A3,10)+1,1)</f>
        <v>0.3</v>
      </c>
      <c r="G3" s="11">
        <f>ROUNDUP(D3/(C3+E3)*(1+F3),-1)</f>
        <v>3710</v>
      </c>
    </row>
    <row r="4" spans="1:7" x14ac:dyDescent="0.15">
      <c r="A4" s="10">
        <v>102</v>
      </c>
      <c r="B4" s="2" t="str">
        <f>VLOOKUP(A4,テーブル!$A$3:$C$6,2,0)</f>
        <v>Ｍ商品</v>
      </c>
      <c r="C4" s="3">
        <f>DSUM(仕入データ表!$A$1:$G$25,C$2,$B$10:$B$11)</f>
        <v>617</v>
      </c>
      <c r="D4" s="3">
        <f>DSUM(仕入データ表!$A$1:$G$25,D$2,$B$10:$B$11)</f>
        <v>2221370</v>
      </c>
      <c r="E4" s="3">
        <f>DSUM(仕入データ表!$A$1:$G$25,E$2,$B$10:$B$11)</f>
        <v>26</v>
      </c>
      <c r="F4" s="4">
        <f>VLOOKUP(D4,テーブル!$H$4:$J$5,MOD(A4,10)+1,1)</f>
        <v>0.28999999999999998</v>
      </c>
      <c r="G4" s="11">
        <f>ROUNDUP(D4/(C4+E4)*(1+F4),-1)</f>
        <v>4460</v>
      </c>
    </row>
    <row r="5" spans="1:7" x14ac:dyDescent="0.15">
      <c r="A5" s="10">
        <v>201</v>
      </c>
      <c r="B5" s="2" t="str">
        <f>VLOOKUP(A5,テーブル!$A$3:$C$6,2,0)</f>
        <v>Ｎ商品</v>
      </c>
      <c r="C5" s="3">
        <f>DSUM(仕入データ表!$A$1:$G$25,C$2,$C$10:$C$11)</f>
        <v>660</v>
      </c>
      <c r="D5" s="3">
        <f>DSUM(仕入データ表!$A$1:$G$25,D$2,$C$10:$C$11)</f>
        <v>2573200</v>
      </c>
      <c r="E5" s="3">
        <f>DSUM(仕入データ表!$A$1:$G$25,E$2,$C$10:$C$11)</f>
        <v>29</v>
      </c>
      <c r="F5" s="4">
        <f>VLOOKUP(D5,テーブル!$H$4:$J$5,MOD(A5,10)+1,1)</f>
        <v>0.28000000000000003</v>
      </c>
      <c r="G5" s="11">
        <f>ROUNDUP(D5/(C5+E5)*(1+F5),-1)</f>
        <v>4790</v>
      </c>
    </row>
    <row r="6" spans="1:7" x14ac:dyDescent="0.15">
      <c r="A6" s="10">
        <v>202</v>
      </c>
      <c r="B6" s="2" t="str">
        <f>VLOOKUP(A6,テーブル!$A$3:$C$6,2,0)</f>
        <v>Ｏ商品</v>
      </c>
      <c r="C6" s="3">
        <f>DSUM(仕入データ表!$A$1:$G$25,C$2,$D$10:$D$11)</f>
        <v>598</v>
      </c>
      <c r="D6" s="3">
        <f>DSUM(仕入データ表!$A$1:$G$25,D$2,$D$10:$D$11)</f>
        <v>2572580</v>
      </c>
      <c r="E6" s="3">
        <f>DSUM(仕入データ表!$A$1:$G$25,E$2,$D$10:$D$11)</f>
        <v>25</v>
      </c>
      <c r="F6" s="4">
        <f>VLOOKUP(D6,テーブル!$H$4:$J$5,MOD(A6,10)+1,1)</f>
        <v>0.27</v>
      </c>
      <c r="G6" s="11">
        <f>ROUNDUP(D6/(C6+E6)*(1+F6),-1)</f>
        <v>5250</v>
      </c>
    </row>
    <row r="7" spans="1:7" x14ac:dyDescent="0.15">
      <c r="A7" s="10"/>
      <c r="B7" s="2"/>
      <c r="C7" s="3"/>
      <c r="D7" s="3"/>
      <c r="E7" s="3"/>
      <c r="F7" s="2"/>
      <c r="G7" s="12"/>
    </row>
    <row r="8" spans="1:7" ht="14.25" thickBot="1" x14ac:dyDescent="0.2">
      <c r="A8" s="13"/>
      <c r="B8" s="14" t="s">
        <v>10</v>
      </c>
      <c r="C8" s="15">
        <f>SUM(C3:C6)</f>
        <v>2694</v>
      </c>
      <c r="D8" s="15">
        <f t="shared" ref="D8:E8" si="0">SUM(D3:D6)</f>
        <v>9807800</v>
      </c>
      <c r="E8" s="15">
        <f t="shared" si="0"/>
        <v>117</v>
      </c>
      <c r="F8" s="16"/>
      <c r="G8" s="17"/>
    </row>
    <row r="9" spans="1:7" ht="14.25" thickBot="1" x14ac:dyDescent="0.2"/>
    <row r="10" spans="1:7" x14ac:dyDescent="0.15">
      <c r="A10" s="18" t="s">
        <v>0</v>
      </c>
      <c r="B10" s="18" t="s">
        <v>0</v>
      </c>
      <c r="C10" s="18" t="s">
        <v>0</v>
      </c>
      <c r="D10" s="18" t="s">
        <v>0</v>
      </c>
    </row>
    <row r="11" spans="1:7" ht="14.25" thickBot="1" x14ac:dyDescent="0.2">
      <c r="A11" s="19">
        <v>101</v>
      </c>
      <c r="B11" s="19">
        <v>102</v>
      </c>
      <c r="C11" s="19">
        <v>201</v>
      </c>
      <c r="D11" s="19">
        <v>202</v>
      </c>
    </row>
  </sheetData>
  <mergeCells count="1">
    <mergeCell ref="A1:G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3"/>
  <sheetViews>
    <sheetView zoomScaleNormal="100" workbookViewId="0"/>
  </sheetViews>
  <sheetFormatPr defaultRowHeight="13.5" x14ac:dyDescent="0.15"/>
  <cols>
    <col min="1" max="1" width="7.5" bestFit="1" customWidth="1"/>
    <col min="2" max="2" width="9.5" bestFit="1" customWidth="1"/>
    <col min="3" max="5" width="7.5" bestFit="1" customWidth="1"/>
    <col min="6" max="6" width="6.5" bestFit="1" customWidth="1"/>
  </cols>
  <sheetData>
    <row r="1" spans="1:6" x14ac:dyDescent="0.15">
      <c r="A1" s="25" t="s">
        <v>15</v>
      </c>
      <c r="B1" s="26" t="s">
        <v>16</v>
      </c>
      <c r="C1" s="26" t="s">
        <v>0</v>
      </c>
      <c r="D1" s="26" t="s">
        <v>1</v>
      </c>
      <c r="E1" s="26" t="s">
        <v>17</v>
      </c>
      <c r="F1" s="27" t="s">
        <v>18</v>
      </c>
    </row>
    <row r="2" spans="1:6" x14ac:dyDescent="0.15">
      <c r="A2" s="28" t="s">
        <v>49</v>
      </c>
      <c r="B2" s="29" t="str">
        <f>VLOOKUP(A2,テーブル!$L$3:$M$10,2,0)</f>
        <v>加藤企画</v>
      </c>
      <c r="C2" s="29">
        <v>101</v>
      </c>
      <c r="D2" s="29" t="str">
        <f>VLOOKUP(C2,テーブル!$A$3:$C$6,2,0)</f>
        <v>Ｌ商品</v>
      </c>
      <c r="E2" s="36">
        <v>94</v>
      </c>
      <c r="F2" s="37">
        <f>ROUNDUP(IF(E2&lt;100,VLOOKUP(C2,定価計算表!$A$3:$G$6,7,0)*0.93,VLOOKUP(C2,定価計算表!$A$3:$G$6,7,0)*0.87),0)</f>
        <v>3451</v>
      </c>
    </row>
    <row r="3" spans="1:6" x14ac:dyDescent="0.15">
      <c r="A3" s="28" t="s">
        <v>49</v>
      </c>
      <c r="B3" s="29" t="str">
        <f>VLOOKUP(A3,テーブル!$L$3:$M$10,2,0)</f>
        <v>加藤企画</v>
      </c>
      <c r="C3" s="29">
        <v>102</v>
      </c>
      <c r="D3" s="29" t="str">
        <f>VLOOKUP(C3,テーブル!$A$3:$C$6,2,0)</f>
        <v>Ｍ商品</v>
      </c>
      <c r="E3" s="36">
        <v>100</v>
      </c>
      <c r="F3" s="37">
        <f>ROUNDUP(IF(E3&lt;100,VLOOKUP(C3,定価計算表!$A$3:$G$6,7,0)*0.93,VLOOKUP(C3,定価計算表!$A$3:$G$6,7,0)*0.87),0)</f>
        <v>3881</v>
      </c>
    </row>
    <row r="4" spans="1:6" x14ac:dyDescent="0.15">
      <c r="A4" s="28" t="s">
        <v>49</v>
      </c>
      <c r="B4" s="29" t="str">
        <f>VLOOKUP(A4,テーブル!$L$3:$M$10,2,0)</f>
        <v>加藤企画</v>
      </c>
      <c r="C4" s="29">
        <v>202</v>
      </c>
      <c r="D4" s="29" t="str">
        <f>VLOOKUP(C4,テーブル!$A$3:$C$6,2,0)</f>
        <v>Ｏ商品</v>
      </c>
      <c r="E4" s="36">
        <v>137</v>
      </c>
      <c r="F4" s="37">
        <f>ROUNDUP(IF(E4&lt;100,VLOOKUP(C4,定価計算表!$A$3:$G$6,7,0)*0.93,VLOOKUP(C4,定価計算表!$A$3:$G$6,7,0)*0.87),0)</f>
        <v>4568</v>
      </c>
    </row>
    <row r="5" spans="1:6" x14ac:dyDescent="0.15">
      <c r="A5" s="28" t="s">
        <v>42</v>
      </c>
      <c r="B5" s="29" t="str">
        <f>VLOOKUP(A5,テーブル!$L$3:$M$10,2,0)</f>
        <v>松島物産</v>
      </c>
      <c r="C5" s="29">
        <v>101</v>
      </c>
      <c r="D5" s="29" t="str">
        <f>VLOOKUP(C5,テーブル!$A$3:$C$6,2,0)</f>
        <v>Ｌ商品</v>
      </c>
      <c r="E5" s="36">
        <v>183</v>
      </c>
      <c r="F5" s="37">
        <f>ROUNDUP(IF(E5&lt;100,VLOOKUP(C5,定価計算表!$A$3:$G$6,7,0)*0.93,VLOOKUP(C5,定価計算表!$A$3:$G$6,7,0)*0.87),0)</f>
        <v>3228</v>
      </c>
    </row>
    <row r="6" spans="1:6" x14ac:dyDescent="0.15">
      <c r="A6" s="28" t="s">
        <v>42</v>
      </c>
      <c r="B6" s="29" t="str">
        <f>VLOOKUP(A6,テーブル!$L$3:$M$10,2,0)</f>
        <v>松島物産</v>
      </c>
      <c r="C6" s="29">
        <v>102</v>
      </c>
      <c r="D6" s="29" t="str">
        <f>VLOOKUP(C6,テーブル!$A$3:$C$6,2,0)</f>
        <v>Ｍ商品</v>
      </c>
      <c r="E6" s="36">
        <v>98</v>
      </c>
      <c r="F6" s="37">
        <f>ROUNDUP(IF(E6&lt;100,VLOOKUP(C6,定価計算表!$A$3:$G$6,7,0)*0.93,VLOOKUP(C6,定価計算表!$A$3:$G$6,7,0)*0.87),0)</f>
        <v>4148</v>
      </c>
    </row>
    <row r="7" spans="1:6" x14ac:dyDescent="0.15">
      <c r="A7" s="28" t="s">
        <v>42</v>
      </c>
      <c r="B7" s="29" t="str">
        <f>VLOOKUP(A7,テーブル!$L$3:$M$10,2,0)</f>
        <v>松島物産</v>
      </c>
      <c r="C7" s="29">
        <v>201</v>
      </c>
      <c r="D7" s="29" t="str">
        <f>VLOOKUP(C7,テーブル!$A$3:$C$6,2,0)</f>
        <v>Ｎ商品</v>
      </c>
      <c r="E7" s="36">
        <v>84</v>
      </c>
      <c r="F7" s="37">
        <f>ROUNDUP(IF(E7&lt;100,VLOOKUP(C7,定価計算表!$A$3:$G$6,7,0)*0.93,VLOOKUP(C7,定価計算表!$A$3:$G$6,7,0)*0.87),0)</f>
        <v>4455</v>
      </c>
    </row>
    <row r="8" spans="1:6" x14ac:dyDescent="0.15">
      <c r="A8" s="28" t="s">
        <v>46</v>
      </c>
      <c r="B8" s="29" t="str">
        <f>VLOOKUP(A8,テーブル!$L$3:$M$10,2,0)</f>
        <v>ナカムラ</v>
      </c>
      <c r="C8" s="29">
        <v>101</v>
      </c>
      <c r="D8" s="29" t="str">
        <f>VLOOKUP(C8,テーブル!$A$3:$C$6,2,0)</f>
        <v>Ｌ商品</v>
      </c>
      <c r="E8" s="36">
        <v>150</v>
      </c>
      <c r="F8" s="37">
        <f>ROUNDUP(IF(E8&lt;100,VLOOKUP(C8,定価計算表!$A$3:$G$6,7,0)*0.93,VLOOKUP(C8,定価計算表!$A$3:$G$6,7,0)*0.87),0)</f>
        <v>3228</v>
      </c>
    </row>
    <row r="9" spans="1:6" x14ac:dyDescent="0.15">
      <c r="A9" s="28" t="s">
        <v>46</v>
      </c>
      <c r="B9" s="29" t="str">
        <f>VLOOKUP(A9,テーブル!$L$3:$M$10,2,0)</f>
        <v>ナカムラ</v>
      </c>
      <c r="C9" s="29">
        <v>201</v>
      </c>
      <c r="D9" s="29" t="str">
        <f>VLOOKUP(C9,テーブル!$A$3:$C$6,2,0)</f>
        <v>Ｎ商品</v>
      </c>
      <c r="E9" s="36">
        <v>52</v>
      </c>
      <c r="F9" s="37">
        <f>ROUNDUP(IF(E9&lt;100,VLOOKUP(C9,定価計算表!$A$3:$G$6,7,0)*0.93,VLOOKUP(C9,定価計算表!$A$3:$G$6,7,0)*0.87),0)</f>
        <v>4455</v>
      </c>
    </row>
    <row r="10" spans="1:6" x14ac:dyDescent="0.15">
      <c r="A10" s="28" t="s">
        <v>46</v>
      </c>
      <c r="B10" s="29" t="str">
        <f>VLOOKUP(A10,テーブル!$L$3:$M$10,2,0)</f>
        <v>ナカムラ</v>
      </c>
      <c r="C10" s="29">
        <v>202</v>
      </c>
      <c r="D10" s="29" t="str">
        <f>VLOOKUP(C10,テーブル!$A$3:$C$6,2,0)</f>
        <v>Ｏ商品</v>
      </c>
      <c r="E10" s="36">
        <v>154</v>
      </c>
      <c r="F10" s="37">
        <f>ROUNDUP(IF(E10&lt;100,VLOOKUP(C10,定価計算表!$A$3:$G$6,7,0)*0.93,VLOOKUP(C10,定価計算表!$A$3:$G$6,7,0)*0.87),0)</f>
        <v>4568</v>
      </c>
    </row>
    <row r="11" spans="1:6" x14ac:dyDescent="0.15">
      <c r="A11" s="28" t="s">
        <v>51</v>
      </c>
      <c r="B11" s="29" t="str">
        <f>VLOOKUP(A11,テーブル!$L$3:$M$10,2,0)</f>
        <v>伊藤商店</v>
      </c>
      <c r="C11" s="29">
        <v>102</v>
      </c>
      <c r="D11" s="29" t="str">
        <f>VLOOKUP(C11,テーブル!$A$3:$C$6,2,0)</f>
        <v>Ｍ商品</v>
      </c>
      <c r="E11" s="36">
        <v>97</v>
      </c>
      <c r="F11" s="37">
        <f>ROUNDUP(IF(E11&lt;100,VLOOKUP(C11,定価計算表!$A$3:$G$6,7,0)*0.93,VLOOKUP(C11,定価計算表!$A$3:$G$6,7,0)*0.87),0)</f>
        <v>4148</v>
      </c>
    </row>
    <row r="12" spans="1:6" x14ac:dyDescent="0.15">
      <c r="A12" s="28" t="s">
        <v>51</v>
      </c>
      <c r="B12" s="29" t="str">
        <f>VLOOKUP(A12,テーブル!$L$3:$M$10,2,0)</f>
        <v>伊藤商店</v>
      </c>
      <c r="C12" s="29">
        <v>201</v>
      </c>
      <c r="D12" s="29" t="str">
        <f>VLOOKUP(C12,テーブル!$A$3:$C$6,2,0)</f>
        <v>Ｎ商品</v>
      </c>
      <c r="E12" s="36">
        <v>109</v>
      </c>
      <c r="F12" s="37">
        <f>ROUNDUP(IF(E12&lt;100,VLOOKUP(C12,定価計算表!$A$3:$G$6,7,0)*0.93,VLOOKUP(C12,定価計算表!$A$3:$G$6,7,0)*0.87),0)</f>
        <v>4168</v>
      </c>
    </row>
    <row r="13" spans="1:6" x14ac:dyDescent="0.15">
      <c r="A13" s="28" t="s">
        <v>51</v>
      </c>
      <c r="B13" s="29" t="str">
        <f>VLOOKUP(A13,テーブル!$L$3:$M$10,2,0)</f>
        <v>伊藤商店</v>
      </c>
      <c r="C13" s="29">
        <v>202</v>
      </c>
      <c r="D13" s="29" t="str">
        <f>VLOOKUP(C13,テーブル!$A$3:$C$6,2,0)</f>
        <v>Ｏ商品</v>
      </c>
      <c r="E13" s="36">
        <v>117</v>
      </c>
      <c r="F13" s="37">
        <f>ROUNDUP(IF(E13&lt;100,VLOOKUP(C13,定価計算表!$A$3:$G$6,7,0)*0.93,VLOOKUP(C13,定価計算表!$A$3:$G$6,7,0)*0.87),0)</f>
        <v>4568</v>
      </c>
    </row>
    <row r="14" spans="1:6" x14ac:dyDescent="0.15">
      <c r="A14" s="28" t="s">
        <v>43</v>
      </c>
      <c r="B14" s="29" t="str">
        <f>VLOOKUP(A14,テーブル!$L$3:$M$10,2,0)</f>
        <v>青木食品</v>
      </c>
      <c r="C14" s="29">
        <v>101</v>
      </c>
      <c r="D14" s="29" t="str">
        <f>VLOOKUP(C14,テーブル!$A$3:$C$6,2,0)</f>
        <v>Ｌ商品</v>
      </c>
      <c r="E14" s="36">
        <v>169</v>
      </c>
      <c r="F14" s="37">
        <f>ROUNDUP(IF(E14&lt;100,VLOOKUP(C14,定価計算表!$A$3:$G$6,7,0)*0.93,VLOOKUP(C14,定価計算表!$A$3:$G$6,7,0)*0.87),0)</f>
        <v>3228</v>
      </c>
    </row>
    <row r="15" spans="1:6" x14ac:dyDescent="0.15">
      <c r="A15" s="28" t="s">
        <v>43</v>
      </c>
      <c r="B15" s="29" t="str">
        <f>VLOOKUP(A15,テーブル!$L$3:$M$10,2,0)</f>
        <v>青木食品</v>
      </c>
      <c r="C15" s="29">
        <v>102</v>
      </c>
      <c r="D15" s="29" t="str">
        <f>VLOOKUP(C15,テーブル!$A$3:$C$6,2,0)</f>
        <v>Ｍ商品</v>
      </c>
      <c r="E15" s="36">
        <v>137</v>
      </c>
      <c r="F15" s="37">
        <f>ROUNDUP(IF(E15&lt;100,VLOOKUP(C15,定価計算表!$A$3:$G$6,7,0)*0.93,VLOOKUP(C15,定価計算表!$A$3:$G$6,7,0)*0.87),0)</f>
        <v>3881</v>
      </c>
    </row>
    <row r="16" spans="1:6" x14ac:dyDescent="0.15">
      <c r="A16" s="28" t="s">
        <v>43</v>
      </c>
      <c r="B16" s="29" t="str">
        <f>VLOOKUP(A16,テーブル!$L$3:$M$10,2,0)</f>
        <v>青木食品</v>
      </c>
      <c r="C16" s="29">
        <v>201</v>
      </c>
      <c r="D16" s="29" t="str">
        <f>VLOOKUP(C16,テーブル!$A$3:$C$6,2,0)</f>
        <v>Ｎ商品</v>
      </c>
      <c r="E16" s="36">
        <v>66</v>
      </c>
      <c r="F16" s="37">
        <f>ROUNDUP(IF(E16&lt;100,VLOOKUP(C16,定価計算表!$A$3:$G$6,7,0)*0.93,VLOOKUP(C16,定価計算表!$A$3:$G$6,7,0)*0.87),0)</f>
        <v>4455</v>
      </c>
    </row>
    <row r="17" spans="1:6" x14ac:dyDescent="0.15">
      <c r="A17" s="28" t="s">
        <v>47</v>
      </c>
      <c r="B17" s="29" t="str">
        <f>VLOOKUP(A17,テーブル!$L$3:$M$10,2,0)</f>
        <v>ＮＪＫＫ</v>
      </c>
      <c r="C17" s="29">
        <v>101</v>
      </c>
      <c r="D17" s="29" t="str">
        <f>VLOOKUP(C17,テーブル!$A$3:$C$6,2,0)</f>
        <v>Ｌ商品</v>
      </c>
      <c r="E17" s="36">
        <v>149</v>
      </c>
      <c r="F17" s="37">
        <f>ROUNDUP(IF(E17&lt;100,VLOOKUP(C17,定価計算表!$A$3:$G$6,7,0)*0.93,VLOOKUP(C17,定価計算表!$A$3:$G$6,7,0)*0.87),0)</f>
        <v>3228</v>
      </c>
    </row>
    <row r="18" spans="1:6" x14ac:dyDescent="0.15">
      <c r="A18" s="28" t="s">
        <v>47</v>
      </c>
      <c r="B18" s="29" t="str">
        <f>VLOOKUP(A18,テーブル!$L$3:$M$10,2,0)</f>
        <v>ＮＪＫＫ</v>
      </c>
      <c r="C18" s="29">
        <v>102</v>
      </c>
      <c r="D18" s="29" t="str">
        <f>VLOOKUP(C18,テーブル!$A$3:$C$6,2,0)</f>
        <v>Ｍ商品</v>
      </c>
      <c r="E18" s="36">
        <v>116</v>
      </c>
      <c r="F18" s="37">
        <f>ROUNDUP(IF(E18&lt;100,VLOOKUP(C18,定価計算表!$A$3:$G$6,7,0)*0.93,VLOOKUP(C18,定価計算表!$A$3:$G$6,7,0)*0.87),0)</f>
        <v>3881</v>
      </c>
    </row>
    <row r="19" spans="1:6" x14ac:dyDescent="0.15">
      <c r="A19" s="28" t="s">
        <v>47</v>
      </c>
      <c r="B19" s="29" t="str">
        <f>VLOOKUP(A19,テーブル!$L$3:$M$10,2,0)</f>
        <v>ＮＪＫＫ</v>
      </c>
      <c r="C19" s="29">
        <v>201</v>
      </c>
      <c r="D19" s="29" t="str">
        <f>VLOOKUP(C19,テーブル!$A$3:$C$6,2,0)</f>
        <v>Ｎ商品</v>
      </c>
      <c r="E19" s="36">
        <v>112</v>
      </c>
      <c r="F19" s="37">
        <f>ROUNDUP(IF(E19&lt;100,VLOOKUP(C19,定価計算表!$A$3:$G$6,7,0)*0.93,VLOOKUP(C19,定価計算表!$A$3:$G$6,7,0)*0.87),0)</f>
        <v>4168</v>
      </c>
    </row>
    <row r="20" spans="1:6" x14ac:dyDescent="0.15">
      <c r="A20" s="28" t="s">
        <v>48</v>
      </c>
      <c r="B20" s="29" t="str">
        <f>VLOOKUP(A20,テーブル!$L$3:$M$10,2,0)</f>
        <v>鈴村商会</v>
      </c>
      <c r="C20" s="29">
        <v>101</v>
      </c>
      <c r="D20" s="29" t="str">
        <f>VLOOKUP(C20,テーブル!$A$3:$C$6,2,0)</f>
        <v>Ｌ商品</v>
      </c>
      <c r="E20" s="36">
        <v>99</v>
      </c>
      <c r="F20" s="37">
        <f>ROUNDUP(IF(E20&lt;100,VLOOKUP(C20,定価計算表!$A$3:$G$6,7,0)*0.93,VLOOKUP(C20,定価計算表!$A$3:$G$6,7,0)*0.87),0)</f>
        <v>3451</v>
      </c>
    </row>
    <row r="21" spans="1:6" x14ac:dyDescent="0.15">
      <c r="A21" s="28" t="s">
        <v>48</v>
      </c>
      <c r="B21" s="29" t="str">
        <f>VLOOKUP(A21,テーブル!$L$3:$M$10,2,0)</f>
        <v>鈴村商会</v>
      </c>
      <c r="C21" s="29">
        <v>201</v>
      </c>
      <c r="D21" s="29" t="str">
        <f>VLOOKUP(C21,テーブル!$A$3:$C$6,2,0)</f>
        <v>Ｎ商品</v>
      </c>
      <c r="E21" s="36">
        <v>117</v>
      </c>
      <c r="F21" s="37">
        <f>ROUNDUP(IF(E21&lt;100,VLOOKUP(C21,定価計算表!$A$3:$G$6,7,0)*0.93,VLOOKUP(C21,定価計算表!$A$3:$G$6,7,0)*0.87),0)</f>
        <v>4168</v>
      </c>
    </row>
    <row r="22" spans="1:6" x14ac:dyDescent="0.15">
      <c r="A22" s="28" t="s">
        <v>48</v>
      </c>
      <c r="B22" s="29" t="str">
        <f>VLOOKUP(A22,テーブル!$L$3:$M$10,2,0)</f>
        <v>鈴村商会</v>
      </c>
      <c r="C22" s="29">
        <v>202</v>
      </c>
      <c r="D22" s="29" t="str">
        <f>VLOOKUP(C22,テーブル!$A$3:$C$6,2,0)</f>
        <v>Ｏ商品</v>
      </c>
      <c r="E22" s="36">
        <v>104</v>
      </c>
      <c r="F22" s="37">
        <f>ROUNDUP(IF(E22&lt;100,VLOOKUP(C22,定価計算表!$A$3:$G$6,7,0)*0.93,VLOOKUP(C22,定価計算表!$A$3:$G$6,7,0)*0.87),0)</f>
        <v>4568</v>
      </c>
    </row>
    <row r="23" spans="1:6" x14ac:dyDescent="0.15">
      <c r="A23" s="28" t="s">
        <v>44</v>
      </c>
      <c r="B23" s="29" t="str">
        <f>VLOOKUP(A23,テーブル!$L$3:$M$10,2,0)</f>
        <v>トクニチ</v>
      </c>
      <c r="C23" s="29">
        <v>102</v>
      </c>
      <c r="D23" s="29" t="str">
        <f>VLOOKUP(C23,テーブル!$A$3:$C$6,2,0)</f>
        <v>Ｍ商品</v>
      </c>
      <c r="E23" s="36">
        <v>72</v>
      </c>
      <c r="F23" s="37">
        <f>ROUNDUP(IF(E23&lt;100,VLOOKUP(C23,定価計算表!$A$3:$G$6,7,0)*0.93,VLOOKUP(C23,定価計算表!$A$3:$G$6,7,0)*0.87),0)</f>
        <v>4148</v>
      </c>
    </row>
    <row r="24" spans="1:6" x14ac:dyDescent="0.15">
      <c r="A24" s="28" t="s">
        <v>44</v>
      </c>
      <c r="B24" s="29" t="str">
        <f>VLOOKUP(A24,テーブル!$L$3:$M$10,2,0)</f>
        <v>トクニチ</v>
      </c>
      <c r="C24" s="29">
        <v>201</v>
      </c>
      <c r="D24" s="29" t="str">
        <f>VLOOKUP(C24,テーブル!$A$3:$C$6,2,0)</f>
        <v>Ｎ商品</v>
      </c>
      <c r="E24" s="36">
        <v>149</v>
      </c>
      <c r="F24" s="37">
        <f>ROUNDUP(IF(E24&lt;100,VLOOKUP(C24,定価計算表!$A$3:$G$6,7,0)*0.93,VLOOKUP(C24,定価計算表!$A$3:$G$6,7,0)*0.87),0)</f>
        <v>4168</v>
      </c>
    </row>
    <row r="25" spans="1:6" x14ac:dyDescent="0.15">
      <c r="A25" s="28" t="s">
        <v>44</v>
      </c>
      <c r="B25" s="29" t="str">
        <f>VLOOKUP(A25,テーブル!$L$3:$M$10,2,0)</f>
        <v>トクニチ</v>
      </c>
      <c r="C25" s="29">
        <v>202</v>
      </c>
      <c r="D25" s="29" t="str">
        <f>VLOOKUP(C25,テーブル!$A$3:$C$6,2,0)</f>
        <v>Ｏ商品</v>
      </c>
      <c r="E25" s="36">
        <v>91</v>
      </c>
      <c r="F25" s="37">
        <f>ROUNDUP(IF(E25&lt;100,VLOOKUP(C25,定価計算表!$A$3:$G$6,7,0)*0.93,VLOOKUP(C25,定価計算表!$A$3:$G$6,7,0)*0.87),0)</f>
        <v>4883</v>
      </c>
    </row>
    <row r="26" spans="1:6" x14ac:dyDescent="0.15">
      <c r="A26" s="28"/>
      <c r="B26" s="29"/>
      <c r="C26" s="29"/>
      <c r="D26" s="29"/>
      <c r="E26" s="36"/>
      <c r="F26" s="37"/>
    </row>
    <row r="27" spans="1:6" ht="14.25" thickBot="1" x14ac:dyDescent="0.2">
      <c r="A27" s="32"/>
      <c r="B27" s="33" t="s">
        <v>10</v>
      </c>
      <c r="C27" s="38"/>
      <c r="D27" s="38"/>
      <c r="E27" s="39">
        <f>SUM(E2:E25)</f>
        <v>2756</v>
      </c>
      <c r="F27" s="40"/>
    </row>
    <row r="30" spans="1:6" x14ac:dyDescent="0.15">
      <c r="A30" s="24"/>
    </row>
    <row r="31" spans="1:6" x14ac:dyDescent="0.15">
      <c r="A31" s="24"/>
    </row>
    <row r="32" spans="1:6" x14ac:dyDescent="0.15">
      <c r="A32" s="24"/>
    </row>
    <row r="33" spans="1:1" x14ac:dyDescent="0.15">
      <c r="A33" s="24"/>
    </row>
  </sheetData>
  <sortState xmlns:xlrd2="http://schemas.microsoft.com/office/spreadsheetml/2017/richdata2" ref="A2:F25">
    <sortCondition ref="A2:A25"/>
    <sortCondition ref="C2:C25"/>
  </sortState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sqref="A1:E1"/>
    </sheetView>
  </sheetViews>
  <sheetFormatPr defaultRowHeight="13.5" x14ac:dyDescent="0.15"/>
  <cols>
    <col min="1" max="1" width="7.5" bestFit="1" customWidth="1"/>
    <col min="2" max="2" width="9.5" bestFit="1" customWidth="1"/>
    <col min="3" max="3" width="11.625" bestFit="1" customWidth="1"/>
    <col min="4" max="4" width="8.5" bestFit="1" customWidth="1"/>
    <col min="5" max="5" width="11.625" bestFit="1" customWidth="1"/>
  </cols>
  <sheetData>
    <row r="1" spans="1:5" ht="14.25" thickBot="1" x14ac:dyDescent="0.2">
      <c r="A1" s="45" t="s">
        <v>25</v>
      </c>
      <c r="B1" s="45"/>
      <c r="C1" s="45"/>
      <c r="D1" s="45"/>
      <c r="E1" s="45"/>
    </row>
    <row r="2" spans="1:5" x14ac:dyDescent="0.15">
      <c r="A2" s="7" t="s">
        <v>15</v>
      </c>
      <c r="B2" s="8" t="s">
        <v>16</v>
      </c>
      <c r="C2" s="8" t="s">
        <v>19</v>
      </c>
      <c r="D2" s="8" t="s">
        <v>26</v>
      </c>
      <c r="E2" s="9" t="s">
        <v>27</v>
      </c>
    </row>
    <row r="3" spans="1:5" x14ac:dyDescent="0.15">
      <c r="A3" s="10" t="s">
        <v>49</v>
      </c>
      <c r="B3" s="2" t="str">
        <f>VLOOKUP(A3,テーブル!$L$3:$M$10,2,0)</f>
        <v>加藤企画</v>
      </c>
      <c r="C3" s="5">
        <f>SUMPRODUCT((売上データ表!$A$2:$A$25=A3)*1,売上データ表!$F$2:$F$25,売上データ表!$E$2:$E$25)</f>
        <v>1338310</v>
      </c>
      <c r="D3" s="5">
        <f>ROUNDDOWN(C3*VLOOKUP(RIGHT(A3,1),テーブル!$O$3:$P$5,2,0),0)</f>
        <v>60223</v>
      </c>
      <c r="E3" s="20">
        <f t="shared" ref="E3:E10" si="0">C3-D3</f>
        <v>1278087</v>
      </c>
    </row>
    <row r="4" spans="1:5" x14ac:dyDescent="0.15">
      <c r="A4" s="10" t="s">
        <v>42</v>
      </c>
      <c r="B4" s="2" t="str">
        <f>VLOOKUP(A4,テーブル!$L$3:$M$10,2,0)</f>
        <v>松島物産</v>
      </c>
      <c r="C4" s="5">
        <f>SUMPRODUCT((売上データ表!$A$2:$A$25=A4)*1,売上データ表!$F$2:$F$25,売上データ表!$E$2:$E$25)</f>
        <v>1371448</v>
      </c>
      <c r="D4" s="5">
        <f>ROUNDDOWN(C4*VLOOKUP(RIGHT(A4,1),テーブル!$O$3:$P$5,2,0),0)</f>
        <v>56229</v>
      </c>
      <c r="E4" s="20">
        <f t="shared" si="0"/>
        <v>1315219</v>
      </c>
    </row>
    <row r="5" spans="1:5" x14ac:dyDescent="0.15">
      <c r="A5" s="10" t="s">
        <v>46</v>
      </c>
      <c r="B5" s="2" t="str">
        <f>VLOOKUP(A5,テーブル!$L$3:$M$10,2,0)</f>
        <v>ナカムラ</v>
      </c>
      <c r="C5" s="5">
        <f>SUMPRODUCT((売上データ表!$A$2:$A$25=A5)*1,売上データ表!$F$2:$F$25,売上データ表!$E$2:$E$25)</f>
        <v>1419332</v>
      </c>
      <c r="D5" s="5">
        <f>ROUNDDOWN(C5*VLOOKUP(RIGHT(A5,1),テーブル!$O$3:$P$5,2,0),0)</f>
        <v>53934</v>
      </c>
      <c r="E5" s="20">
        <f t="shared" si="0"/>
        <v>1365398</v>
      </c>
    </row>
    <row r="6" spans="1:5" x14ac:dyDescent="0.15">
      <c r="A6" s="10" t="s">
        <v>51</v>
      </c>
      <c r="B6" s="2" t="str">
        <f>VLOOKUP(A6,テーブル!$L$3:$M$10,2,0)</f>
        <v>伊藤商店</v>
      </c>
      <c r="C6" s="5">
        <f>SUMPRODUCT((売上データ表!$A$2:$A$25=A6)*1,売上データ表!$F$2:$F$25,売上データ表!$E$2:$E$25)</f>
        <v>1391124</v>
      </c>
      <c r="D6" s="5">
        <f>ROUNDDOWN(C6*VLOOKUP(RIGHT(A6,1),テーブル!$O$3:$P$5,2,0),0)</f>
        <v>62600</v>
      </c>
      <c r="E6" s="20">
        <f t="shared" si="0"/>
        <v>1328524</v>
      </c>
    </row>
    <row r="7" spans="1:5" x14ac:dyDescent="0.15">
      <c r="A7" s="10" t="s">
        <v>43</v>
      </c>
      <c r="B7" s="2" t="str">
        <f>VLOOKUP(A7,テーブル!$L$3:$M$10,2,0)</f>
        <v>青木食品</v>
      </c>
      <c r="C7" s="5">
        <f>SUMPRODUCT((売上データ表!$A$2:$A$25=A7)*1,売上データ表!$F$2:$F$25,売上データ表!$E$2:$E$25)</f>
        <v>1371259</v>
      </c>
      <c r="D7" s="5">
        <f>ROUNDDOWN(C7*VLOOKUP(RIGHT(A7,1),テーブル!$O$3:$P$5,2,0),0)</f>
        <v>56221</v>
      </c>
      <c r="E7" s="20">
        <f t="shared" si="0"/>
        <v>1315038</v>
      </c>
    </row>
    <row r="8" spans="1:5" x14ac:dyDescent="0.15">
      <c r="A8" s="10" t="s">
        <v>47</v>
      </c>
      <c r="B8" s="2" t="str">
        <f>VLOOKUP(A8,テーブル!$L$3:$M$10,2,0)</f>
        <v>ＮＪＫＫ</v>
      </c>
      <c r="C8" s="5">
        <f>SUMPRODUCT((売上データ表!$A$2:$A$25=A8)*1,売上データ表!$F$2:$F$25,売上データ表!$E$2:$E$25)</f>
        <v>1397984</v>
      </c>
      <c r="D8" s="5">
        <f>ROUNDDOWN(C8*VLOOKUP(RIGHT(A8,1),テーブル!$O$3:$P$5,2,0),0)</f>
        <v>53123</v>
      </c>
      <c r="E8" s="20">
        <f t="shared" si="0"/>
        <v>1344861</v>
      </c>
    </row>
    <row r="9" spans="1:5" x14ac:dyDescent="0.15">
      <c r="A9" s="10" t="s">
        <v>48</v>
      </c>
      <c r="B9" s="2" t="str">
        <f>VLOOKUP(A9,テーブル!$L$3:$M$10,2,0)</f>
        <v>鈴村商会</v>
      </c>
      <c r="C9" s="5">
        <f>SUMPRODUCT((売上データ表!$A$2:$A$25=A9)*1,売上データ表!$F$2:$F$25,売上データ表!$E$2:$E$25)</f>
        <v>1304377</v>
      </c>
      <c r="D9" s="5">
        <f>ROUNDDOWN(C9*VLOOKUP(RIGHT(A9,1),テーブル!$O$3:$P$5,2,0),0)</f>
        <v>58696</v>
      </c>
      <c r="E9" s="20">
        <f t="shared" si="0"/>
        <v>1245681</v>
      </c>
    </row>
    <row r="10" spans="1:5" x14ac:dyDescent="0.15">
      <c r="A10" s="10" t="s">
        <v>44</v>
      </c>
      <c r="B10" s="2" t="str">
        <f>VLOOKUP(A10,テーブル!$L$3:$M$10,2,0)</f>
        <v>トクニチ</v>
      </c>
      <c r="C10" s="5">
        <f>SUMPRODUCT((売上データ表!$A$2:$A$25=A10)*1,売上データ表!$F$2:$F$25,売上データ表!$E$2:$E$25)</f>
        <v>1364041</v>
      </c>
      <c r="D10" s="5">
        <f>ROUNDDOWN(C10*VLOOKUP(RIGHT(A10,1),テーブル!$O$3:$P$5,2,0),0)</f>
        <v>55925</v>
      </c>
      <c r="E10" s="20">
        <f t="shared" si="0"/>
        <v>1308116</v>
      </c>
    </row>
    <row r="11" spans="1:5" x14ac:dyDescent="0.15">
      <c r="A11" s="10"/>
      <c r="B11" s="2"/>
      <c r="C11" s="5"/>
      <c r="D11" s="5"/>
      <c r="E11" s="20"/>
    </row>
    <row r="12" spans="1:5" ht="14.25" thickBot="1" x14ac:dyDescent="0.2">
      <c r="A12" s="13"/>
      <c r="B12" s="14" t="s">
        <v>10</v>
      </c>
      <c r="C12" s="21">
        <f>SUM(C3:C10)</f>
        <v>10957875</v>
      </c>
      <c r="D12" s="21">
        <f t="shared" ref="D12:E12" si="1">SUM(D3:D10)</f>
        <v>456951</v>
      </c>
      <c r="E12" s="22">
        <f t="shared" si="1"/>
        <v>10500924</v>
      </c>
    </row>
  </sheetData>
  <mergeCells count="1">
    <mergeCell ref="A1:E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テーブル</vt:lpstr>
      <vt:lpstr>仕入データ表</vt:lpstr>
      <vt:lpstr>定価計算表</vt:lpstr>
      <vt:lpstr>売上データ表</vt:lpstr>
      <vt:lpstr>請求額計算表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2020-01-07T02:53:09Z</cp:lastPrinted>
  <dcterms:created xsi:type="dcterms:W3CDTF">2019-03-28T01:49:55Z</dcterms:created>
  <dcterms:modified xsi:type="dcterms:W3CDTF">2021-02-19T04:23:40Z</dcterms:modified>
</cp:coreProperties>
</file>