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_imazu\Desktop\SPS模範解答\模範解答\"/>
    </mc:Choice>
  </mc:AlternateContent>
  <xr:revisionPtr revIDLastSave="0" documentId="13_ncr:1_{48F51098-9747-43F2-8060-D20BC1E3DCDD}" xr6:coauthVersionLast="46" xr6:coauthVersionMax="46" xr10:uidLastSave="{00000000-0000-0000-0000-000000000000}"/>
  <bookViews>
    <workbookView xWindow="780" yWindow="780" windowWidth="18000" windowHeight="9360" xr2:uid="{00000000-000D-0000-FFFF-FFFF00000000}"/>
  </bookViews>
  <sheets>
    <sheet name="テーブル" sheetId="1" r:id="rId1"/>
    <sheet name="データ表" sheetId="5" r:id="rId2"/>
    <sheet name="計算表" sheetId="6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" i="6" l="1"/>
  <c r="O3" i="6"/>
  <c r="O2" i="6"/>
  <c r="C3" i="6"/>
  <c r="C4" i="6"/>
  <c r="C5" i="6"/>
  <c r="C6" i="6"/>
  <c r="B6" i="6"/>
  <c r="B5" i="6"/>
  <c r="B4" i="6"/>
  <c r="B3" i="6"/>
  <c r="I4" i="6"/>
  <c r="J4" i="6"/>
  <c r="K4" i="6"/>
  <c r="L4" i="6"/>
  <c r="I5" i="6"/>
  <c r="J5" i="6"/>
  <c r="K5" i="6"/>
  <c r="L5" i="6"/>
  <c r="I6" i="6"/>
  <c r="J6" i="6"/>
  <c r="K6" i="6"/>
  <c r="L6" i="6"/>
  <c r="I7" i="6"/>
  <c r="J7" i="6"/>
  <c r="K7" i="6"/>
  <c r="L7" i="6"/>
  <c r="I8" i="6"/>
  <c r="J8" i="6"/>
  <c r="K8" i="6"/>
  <c r="L8" i="6"/>
  <c r="I9" i="6"/>
  <c r="J9" i="6"/>
  <c r="K9" i="6"/>
  <c r="L9" i="6"/>
  <c r="I10" i="6"/>
  <c r="J10" i="6"/>
  <c r="K10" i="6"/>
  <c r="L10" i="6"/>
  <c r="L3" i="6"/>
  <c r="K3" i="6"/>
  <c r="J3" i="6"/>
  <c r="I3" i="6"/>
  <c r="F3" i="5"/>
  <c r="G3" i="5" s="1"/>
  <c r="F4" i="5"/>
  <c r="G4" i="5" s="1"/>
  <c r="F5" i="5"/>
  <c r="G5" i="5" s="1"/>
  <c r="F6" i="5"/>
  <c r="G6" i="5" s="1"/>
  <c r="F7" i="5"/>
  <c r="G7" i="5" s="1"/>
  <c r="F8" i="5"/>
  <c r="G8" i="5" s="1"/>
  <c r="F9" i="5"/>
  <c r="G9" i="5" s="1"/>
  <c r="F10" i="5"/>
  <c r="G10" i="5" s="1"/>
  <c r="F11" i="5"/>
  <c r="G11" i="5" s="1"/>
  <c r="F12" i="5"/>
  <c r="G12" i="5" s="1"/>
  <c r="F13" i="5"/>
  <c r="G13" i="5" s="1"/>
  <c r="F14" i="5"/>
  <c r="G14" i="5" s="1"/>
  <c r="F15" i="5"/>
  <c r="G15" i="5" s="1"/>
  <c r="F16" i="5"/>
  <c r="G16" i="5" s="1"/>
  <c r="F17" i="5"/>
  <c r="G17" i="5" s="1"/>
  <c r="F18" i="5"/>
  <c r="G18" i="5" s="1"/>
  <c r="F19" i="5"/>
  <c r="G19" i="5" s="1"/>
  <c r="F20" i="5"/>
  <c r="G20" i="5" s="1"/>
  <c r="F21" i="5"/>
  <c r="G21" i="5" s="1"/>
  <c r="F22" i="5"/>
  <c r="G22" i="5" s="1"/>
  <c r="F23" i="5"/>
  <c r="G23" i="5" s="1"/>
  <c r="F24" i="5"/>
  <c r="G24" i="5" s="1"/>
  <c r="F25" i="5"/>
  <c r="G25" i="5" s="1"/>
  <c r="F26" i="5"/>
  <c r="G26" i="5" s="1"/>
  <c r="F27" i="5"/>
  <c r="G27" i="5" s="1"/>
  <c r="F28" i="5"/>
  <c r="G28" i="5" s="1"/>
  <c r="F29" i="5"/>
  <c r="G29" i="5" s="1"/>
  <c r="F30" i="5"/>
  <c r="G30" i="5" s="1"/>
  <c r="F31" i="5"/>
  <c r="G31" i="5" s="1"/>
  <c r="F32" i="5"/>
  <c r="G32" i="5" s="1"/>
  <c r="F33" i="5"/>
  <c r="G33" i="5" s="1"/>
  <c r="D3" i="5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F2" i="5"/>
  <c r="G2" i="5" s="1"/>
  <c r="D2" i="5"/>
  <c r="I33" i="5"/>
  <c r="B33" i="5"/>
  <c r="I32" i="5"/>
  <c r="B32" i="5"/>
  <c r="I31" i="5"/>
  <c r="B31" i="5"/>
  <c r="I30" i="5"/>
  <c r="B30" i="5"/>
  <c r="I29" i="5"/>
  <c r="B29" i="5"/>
  <c r="I28" i="5"/>
  <c r="B28" i="5"/>
  <c r="I27" i="5"/>
  <c r="B27" i="5"/>
  <c r="I26" i="5"/>
  <c r="B26" i="5"/>
  <c r="I25" i="5"/>
  <c r="B25" i="5"/>
  <c r="I24" i="5"/>
  <c r="B24" i="5"/>
  <c r="I23" i="5"/>
  <c r="B23" i="5"/>
  <c r="I22" i="5"/>
  <c r="B22" i="5"/>
  <c r="I21" i="5"/>
  <c r="B21" i="5"/>
  <c r="I20" i="5"/>
  <c r="B20" i="5"/>
  <c r="I19" i="5"/>
  <c r="B19" i="5"/>
  <c r="I18" i="5"/>
  <c r="B18" i="5"/>
  <c r="I17" i="5"/>
  <c r="B17" i="5"/>
  <c r="I16" i="5"/>
  <c r="B16" i="5"/>
  <c r="I15" i="5"/>
  <c r="B15" i="5"/>
  <c r="I14" i="5"/>
  <c r="B14" i="5"/>
  <c r="I13" i="5"/>
  <c r="B13" i="5"/>
  <c r="I12" i="5"/>
  <c r="B12" i="5"/>
  <c r="I11" i="5"/>
  <c r="B11" i="5"/>
  <c r="I10" i="5"/>
  <c r="B10" i="5"/>
  <c r="I9" i="5"/>
  <c r="B9" i="5"/>
  <c r="I8" i="5"/>
  <c r="B8" i="5"/>
  <c r="I7" i="5"/>
  <c r="B7" i="5"/>
  <c r="I6" i="5"/>
  <c r="B6" i="5"/>
  <c r="I5" i="5"/>
  <c r="B5" i="5"/>
  <c r="I4" i="5"/>
  <c r="B4" i="5"/>
  <c r="I3" i="5"/>
  <c r="B3" i="5"/>
  <c r="I2" i="5"/>
  <c r="B2" i="5"/>
  <c r="J2" i="5" l="1"/>
  <c r="J3" i="5"/>
  <c r="J4" i="5"/>
  <c r="J5" i="5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3" i="5"/>
  <c r="J32" i="5"/>
  <c r="E35" i="5" l="1"/>
  <c r="G35" i="5" l="1"/>
  <c r="I35" i="5"/>
  <c r="D6" i="6" l="1"/>
  <c r="J35" i="5"/>
  <c r="D5" i="6" l="1"/>
  <c r="D4" i="6"/>
  <c r="E4" i="6" s="1"/>
  <c r="D3" i="6"/>
  <c r="E6" i="6"/>
  <c r="B8" i="6"/>
  <c r="C8" i="6" l="1"/>
  <c r="E3" i="6"/>
  <c r="D8" i="6" l="1"/>
  <c r="E5" i="6" l="1"/>
  <c r="F5" i="6" l="1"/>
  <c r="F4" i="6"/>
  <c r="F6" i="6"/>
  <c r="E8" i="6"/>
  <c r="F3" i="6"/>
</calcChain>
</file>

<file path=xl/sharedStrings.xml><?xml version="1.0" encoding="utf-8"?>
<sst xmlns="http://schemas.openxmlformats.org/spreadsheetml/2006/main" count="121" uniqueCount="56">
  <si>
    <t>商ＣＯ</t>
  </si>
  <si>
    <t>商品名</t>
  </si>
  <si>
    <t>＜商品テーブル＞</t>
  </si>
  <si>
    <t>合　計</t>
  </si>
  <si>
    <t>得ＣＯ</t>
  </si>
  <si>
    <t>得意先名</t>
  </si>
  <si>
    <t>割引額</t>
  </si>
  <si>
    <t>請求額</t>
  </si>
  <si>
    <t>A</t>
  </si>
  <si>
    <t>B</t>
  </si>
  <si>
    <t>C</t>
  </si>
  <si>
    <t>商品別集計表</t>
  </si>
  <si>
    <t>日数</t>
  </si>
  <si>
    <t>乗率</t>
  </si>
  <si>
    <t>貸出料金</t>
  </si>
  <si>
    <t>ＯＰ</t>
  </si>
  <si>
    <t>ＯＰ料金</t>
  </si>
  <si>
    <t>料金合計</t>
  </si>
  <si>
    <t>判定</t>
  </si>
  <si>
    <t>日数が10より多く15より少ない貸出料金の合計</t>
  </si>
  <si>
    <t>１日料金</t>
  </si>
  <si>
    <t>商品Ｅ</t>
  </si>
  <si>
    <t>1～9</t>
  </si>
  <si>
    <t>10～19</t>
  </si>
  <si>
    <t>商品Ｆ</t>
  </si>
  <si>
    <t>日数が12以下でＯＰがB以外の料金合計の平均</t>
  </si>
  <si>
    <t>商品Ｇ</t>
  </si>
  <si>
    <t>商品Ｈ</t>
  </si>
  <si>
    <t>商品Ｉ</t>
  </si>
  <si>
    <t>&gt;10</t>
  </si>
  <si>
    <t>&lt;15</t>
  </si>
  <si>
    <t>&lt;&gt;商品Ｆ</t>
  </si>
  <si>
    <t>&gt;3800</t>
  </si>
  <si>
    <t>&lt;=12</t>
  </si>
  <si>
    <t>&lt;&gt;B</t>
  </si>
  <si>
    <t>商品Ｊ</t>
  </si>
  <si>
    <t>商品Ｊ</t>
    <phoneticPr fontId="1"/>
  </si>
  <si>
    <t>商品Ｋ</t>
  </si>
  <si>
    <t>商品Ｋ</t>
    <phoneticPr fontId="1"/>
  </si>
  <si>
    <t>商品Ｌ</t>
  </si>
  <si>
    <t>商品Ｌ</t>
    <phoneticPr fontId="1"/>
  </si>
  <si>
    <t>加藤企画</t>
    <rPh sb="0" eb="2">
      <t>カトウ</t>
    </rPh>
    <rPh sb="2" eb="4">
      <t>キカク</t>
    </rPh>
    <phoneticPr fontId="1"/>
  </si>
  <si>
    <t>南海商事</t>
    <rPh sb="0" eb="2">
      <t>ナンカイ</t>
    </rPh>
    <phoneticPr fontId="1"/>
  </si>
  <si>
    <t>丸山商店</t>
    <rPh sb="0" eb="2">
      <t>マルヤマ</t>
    </rPh>
    <phoneticPr fontId="1"/>
  </si>
  <si>
    <t>ＦＫ物産</t>
    <phoneticPr fontId="1"/>
  </si>
  <si>
    <t>＜得意先テーブル＞</t>
    <phoneticPr fontId="1"/>
  </si>
  <si>
    <t>＜乗率表＞</t>
    <phoneticPr fontId="1"/>
  </si>
  <si>
    <t>料金合計</t>
    <phoneticPr fontId="1"/>
  </si>
  <si>
    <t>得意先別計算表</t>
    <phoneticPr fontId="1"/>
  </si>
  <si>
    <t>合　計</t>
    <phoneticPr fontId="1"/>
  </si>
  <si>
    <t>ＯＰ単価</t>
    <rPh sb="2" eb="4">
      <t>タンカ</t>
    </rPh>
    <phoneticPr fontId="1"/>
  </si>
  <si>
    <t>商品Ｆ以外でＯＰ料金が3,800円より多い件数</t>
    <phoneticPr fontId="1"/>
  </si>
  <si>
    <t>ＯＰ</t>
    <phoneticPr fontId="1"/>
  </si>
  <si>
    <t>日数</t>
    <rPh sb="0" eb="2">
      <t>ニッスウ</t>
    </rPh>
    <phoneticPr fontId="1"/>
  </si>
  <si>
    <t>商品名</t>
    <rPh sb="0" eb="3">
      <t>ショウヒンメイ</t>
    </rPh>
    <phoneticPr fontId="1"/>
  </si>
  <si>
    <t>ＯＰ料金</t>
    <rPh sb="2" eb="4">
      <t>リョウキン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</si>
</sst>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11"/>
      <color theme="1"/>
      <name val="ＭＳ 明朝"/>
      <family val="2"/>
      <charset val="128"/>
    </font>
    <font>
      <sz val="11"/>
      <color rgb="FFFF0000"/>
      <name val="ＭＳ 明朝"/>
      <family val="2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3" fontId="0" fillId="0" borderId="1" xfId="0" applyNumberForma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3" fontId="0" fillId="0" borderId="8" xfId="0" applyNumberFormat="1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0" xfId="0" applyAlignment="1">
      <alignment horizontal="center" vertical="center"/>
    </xf>
    <xf numFmtId="9" fontId="0" fillId="0" borderId="1" xfId="1" applyFont="1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  <xf numFmtId="38" fontId="0" fillId="0" borderId="1" xfId="2" applyFont="1" applyBorder="1">
      <alignment vertical="center"/>
    </xf>
    <xf numFmtId="38" fontId="0" fillId="0" borderId="6" xfId="2" applyFont="1" applyBorder="1">
      <alignment vertical="center"/>
    </xf>
    <xf numFmtId="38" fontId="0" fillId="0" borderId="8" xfId="2" applyFont="1" applyBorder="1">
      <alignment vertical="center"/>
    </xf>
    <xf numFmtId="38" fontId="0" fillId="0" borderId="9" xfId="2" applyFont="1" applyBorder="1">
      <alignment vertical="center"/>
    </xf>
    <xf numFmtId="3" fontId="0" fillId="0" borderId="0" xfId="0" applyNumberFormat="1">
      <alignment vertical="center"/>
    </xf>
    <xf numFmtId="0" fontId="3" fillId="0" borderId="0" xfId="0" applyFont="1">
      <alignment vertical="center"/>
    </xf>
    <xf numFmtId="0" fontId="4" fillId="0" borderId="1" xfId="0" applyFont="1" applyBorder="1">
      <alignment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>
      <alignment vertical="center"/>
    </xf>
    <xf numFmtId="0" fontId="0" fillId="0" borderId="1" xfId="0" applyFill="1" applyBorder="1">
      <alignment vertical="center"/>
    </xf>
    <xf numFmtId="9" fontId="0" fillId="0" borderId="1" xfId="0" applyNumberFormat="1" applyFill="1" applyBorder="1">
      <alignment vertical="center"/>
    </xf>
    <xf numFmtId="3" fontId="0" fillId="0" borderId="1" xfId="0" applyNumberFormat="1" applyFill="1" applyBorder="1">
      <alignment vertical="center"/>
    </xf>
    <xf numFmtId="3" fontId="0" fillId="0" borderId="6" xfId="0" applyNumberFormat="1" applyFill="1" applyBorder="1">
      <alignment vertical="center"/>
    </xf>
    <xf numFmtId="0" fontId="0" fillId="0" borderId="6" xfId="0" applyFill="1" applyBorder="1">
      <alignment vertical="center"/>
    </xf>
    <xf numFmtId="0" fontId="0" fillId="0" borderId="7" xfId="0" applyFill="1" applyBorder="1">
      <alignment vertical="center"/>
    </xf>
    <xf numFmtId="0" fontId="0" fillId="0" borderId="8" xfId="0" applyFill="1" applyBorder="1" applyAlignment="1">
      <alignment horizontal="center" vertical="center"/>
    </xf>
    <xf numFmtId="0" fontId="0" fillId="0" borderId="8" xfId="0" applyFill="1" applyBorder="1">
      <alignment vertical="center"/>
    </xf>
    <xf numFmtId="38" fontId="0" fillId="0" borderId="8" xfId="2" applyFont="1" applyFill="1" applyBorder="1">
      <alignment vertical="center"/>
    </xf>
    <xf numFmtId="38" fontId="0" fillId="0" borderId="9" xfId="2" applyFont="1" applyFill="1" applyBorder="1">
      <alignment vertical="center"/>
    </xf>
    <xf numFmtId="0" fontId="4" fillId="0" borderId="5" xfId="0" applyFont="1" applyBorder="1">
      <alignment vertical="center"/>
    </xf>
    <xf numFmtId="0" fontId="0" fillId="0" borderId="10" xfId="0" applyBorder="1" applyAlignment="1">
      <alignment horizontal="center" vertical="center"/>
    </xf>
    <xf numFmtId="3" fontId="0" fillId="0" borderId="0" xfId="0" applyNumberFormat="1" applyBorder="1">
      <alignment vertical="center"/>
    </xf>
    <xf numFmtId="4" fontId="0" fillId="0" borderId="0" xfId="0" applyNumberFormat="1" applyBorder="1">
      <alignment vertical="center"/>
    </xf>
    <xf numFmtId="0" fontId="0" fillId="0" borderId="15" xfId="0" applyBorder="1" applyAlignment="1">
      <alignment horizontal="center" vertical="center"/>
    </xf>
    <xf numFmtId="0" fontId="4" fillId="0" borderId="16" xfId="0" applyFont="1" applyBorder="1">
      <alignment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38" fontId="0" fillId="0" borderId="4" xfId="2" applyFont="1" applyBorder="1">
      <alignment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colors>
    <mruColors>
      <color rgb="FFB3B3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r>
              <a:rPr lang="ja-JP" altLang="en-US"/>
              <a:t>商品別の集計グラフ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計算表!$L$2</c:f>
              <c:strCache>
                <c:ptCount val="1"/>
                <c:pt idx="0">
                  <c:v>料金合計</c:v>
                </c:pt>
              </c:strCache>
            </c:strRef>
          </c:tx>
          <c:spPr>
            <a:solidFill>
              <a:srgbClr val="B3B3B3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計算表!$H$3:$H$10</c:f>
              <c:strCache>
                <c:ptCount val="8"/>
                <c:pt idx="0">
                  <c:v>商品Ｅ</c:v>
                </c:pt>
                <c:pt idx="1">
                  <c:v>商品Ｆ</c:v>
                </c:pt>
                <c:pt idx="2">
                  <c:v>商品Ｇ</c:v>
                </c:pt>
                <c:pt idx="3">
                  <c:v>商品Ｈ</c:v>
                </c:pt>
                <c:pt idx="4">
                  <c:v>商品Ｉ</c:v>
                </c:pt>
                <c:pt idx="5">
                  <c:v>商品Ｊ</c:v>
                </c:pt>
                <c:pt idx="6">
                  <c:v>商品Ｋ</c:v>
                </c:pt>
                <c:pt idx="7">
                  <c:v>商品Ｌ</c:v>
                </c:pt>
              </c:strCache>
            </c:strRef>
          </c:cat>
          <c:val>
            <c:numRef>
              <c:f>計算表!$L$3:$L$10</c:f>
              <c:numCache>
                <c:formatCode>#,##0_);[Red]\(#,##0\)</c:formatCode>
                <c:ptCount val="8"/>
                <c:pt idx="0">
                  <c:v>256120</c:v>
                </c:pt>
                <c:pt idx="1">
                  <c:v>219010</c:v>
                </c:pt>
                <c:pt idx="2">
                  <c:v>231720</c:v>
                </c:pt>
                <c:pt idx="3">
                  <c:v>251080</c:v>
                </c:pt>
                <c:pt idx="4">
                  <c:v>202040</c:v>
                </c:pt>
                <c:pt idx="5">
                  <c:v>185900</c:v>
                </c:pt>
                <c:pt idx="6">
                  <c:v>157220</c:v>
                </c:pt>
                <c:pt idx="7">
                  <c:v>149500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95-4473-89AF-9CFC0F5120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4341504"/>
        <c:axId val="1135980704"/>
      </c:barChart>
      <c:lineChart>
        <c:grouping val="standard"/>
        <c:varyColors val="0"/>
        <c:ser>
          <c:idx val="1"/>
          <c:order val="1"/>
          <c:tx>
            <c:strRef>
              <c:f>計算表!$I$2</c:f>
              <c:strCache>
                <c:ptCount val="1"/>
                <c:pt idx="0">
                  <c:v>日数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ysClr val="windowText" lastClr="000000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cat>
            <c:strRef>
              <c:f>計算表!$H$3:$H$10</c:f>
              <c:strCache>
                <c:ptCount val="8"/>
                <c:pt idx="0">
                  <c:v>商品Ｅ</c:v>
                </c:pt>
                <c:pt idx="1">
                  <c:v>商品Ｆ</c:v>
                </c:pt>
                <c:pt idx="2">
                  <c:v>商品Ｇ</c:v>
                </c:pt>
                <c:pt idx="3">
                  <c:v>商品Ｈ</c:v>
                </c:pt>
                <c:pt idx="4">
                  <c:v>商品Ｉ</c:v>
                </c:pt>
                <c:pt idx="5">
                  <c:v>商品Ｊ</c:v>
                </c:pt>
                <c:pt idx="6">
                  <c:v>商品Ｋ</c:v>
                </c:pt>
                <c:pt idx="7">
                  <c:v>商品Ｌ</c:v>
                </c:pt>
              </c:strCache>
            </c:strRef>
          </c:cat>
          <c:val>
            <c:numRef>
              <c:f>計算表!$I$3:$I$10</c:f>
              <c:numCache>
                <c:formatCode>#,##0_);[Red]\(#,##0\)</c:formatCode>
                <c:ptCount val="8"/>
                <c:pt idx="0">
                  <c:v>46</c:v>
                </c:pt>
                <c:pt idx="1">
                  <c:v>41</c:v>
                </c:pt>
                <c:pt idx="2">
                  <c:v>47</c:v>
                </c:pt>
                <c:pt idx="3">
                  <c:v>52</c:v>
                </c:pt>
                <c:pt idx="4">
                  <c:v>46</c:v>
                </c:pt>
                <c:pt idx="5">
                  <c:v>44</c:v>
                </c:pt>
                <c:pt idx="6">
                  <c:v>40</c:v>
                </c:pt>
                <c:pt idx="7">
                  <c:v>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95-4473-89AF-9CFC0F5120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385352"/>
        <c:axId val="464387976"/>
      </c:lineChart>
      <c:catAx>
        <c:axId val="464385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464387976"/>
        <c:crosses val="autoZero"/>
        <c:auto val="1"/>
        <c:lblAlgn val="ctr"/>
        <c:lblOffset val="100"/>
        <c:noMultiLvlLbl val="0"/>
      </c:catAx>
      <c:valAx>
        <c:axId val="464387976"/>
        <c:scaling>
          <c:orientation val="minMax"/>
        </c:scaling>
        <c:delete val="0"/>
        <c:axPos val="l"/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464385352"/>
        <c:crosses val="autoZero"/>
        <c:crossBetween val="between"/>
      </c:valAx>
      <c:valAx>
        <c:axId val="1135980704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794341504"/>
        <c:crosses val="max"/>
        <c:crossBetween val="between"/>
      </c:valAx>
      <c:catAx>
        <c:axId val="7943415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35980704"/>
        <c:crosses val="autoZero"/>
        <c:auto val="1"/>
        <c:lblAlgn val="ctr"/>
        <c:lblOffset val="100"/>
        <c:noMultiLvlLbl val="0"/>
      </c:catAx>
      <c:spPr>
        <a:solidFill>
          <a:schemeClr val="lt1"/>
        </a:solidFill>
        <a:ln>
          <a:solidFill>
            <a:schemeClr val="dk1"/>
          </a:solidFill>
        </a:ln>
        <a:effectLst/>
      </c:spPr>
    </c:plotArea>
    <c:legend>
      <c:legendPos val="r"/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 sz="1050">
          <a:solidFill>
            <a:schemeClr val="tx1"/>
          </a:solidFill>
          <a:latin typeface="ＭＳ 明朝" panose="02020609040205080304" pitchFamily="17" charset="-128"/>
          <a:ea typeface="ＭＳ 明朝" panose="02020609040205080304" pitchFamily="17" charset="-128"/>
        </a:defRPr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381000</xdr:colOff>
      <xdr:row>11</xdr:row>
      <xdr:rowOff>33337</xdr:rowOff>
    </xdr:from>
    <xdr:to>
      <xdr:col>13</xdr:col>
      <xdr:colOff>1909762</xdr:colOff>
      <xdr:row>27</xdr:row>
      <xdr:rowOff>33337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79642344-4047-4A91-8BE1-FC2B191CFF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"/>
  <sheetViews>
    <sheetView tabSelected="1" workbookViewId="0"/>
  </sheetViews>
  <sheetFormatPr defaultRowHeight="13.5"/>
  <cols>
    <col min="1" max="1" width="7.5" bestFit="1" customWidth="1"/>
    <col min="2" max="2" width="9.5" bestFit="1" customWidth="1"/>
    <col min="3" max="3" width="5" customWidth="1"/>
    <col min="4" max="5" width="7.5" bestFit="1" customWidth="1"/>
    <col min="6" max="6" width="9.5" bestFit="1" customWidth="1"/>
    <col min="7" max="9" width="4.5" bestFit="1" customWidth="1"/>
    <col min="10" max="10" width="7.5" bestFit="1" customWidth="1"/>
    <col min="11" max="11" width="9.5" bestFit="1" customWidth="1"/>
    <col min="12" max="12" width="5.5" bestFit="1" customWidth="1"/>
    <col min="13" max="13" width="7.5" bestFit="1" customWidth="1"/>
    <col min="14" max="14" width="9" customWidth="1"/>
  </cols>
  <sheetData>
    <row r="1" spans="1:13">
      <c r="A1" t="s">
        <v>45</v>
      </c>
      <c r="D1" t="s">
        <v>2</v>
      </c>
      <c r="K1" t="s">
        <v>46</v>
      </c>
    </row>
    <row r="2" spans="1:13">
      <c r="A2" s="1" t="s">
        <v>4</v>
      </c>
      <c r="B2" s="1" t="s">
        <v>5</v>
      </c>
      <c r="D2" s="50" t="s">
        <v>0</v>
      </c>
      <c r="E2" s="50" t="s">
        <v>1</v>
      </c>
      <c r="F2" s="50" t="s">
        <v>20</v>
      </c>
      <c r="G2" s="50" t="s">
        <v>50</v>
      </c>
      <c r="H2" s="50"/>
      <c r="I2" s="50"/>
      <c r="K2" s="48" t="s">
        <v>20</v>
      </c>
      <c r="L2" s="46" t="s">
        <v>12</v>
      </c>
      <c r="M2" s="47"/>
    </row>
    <row r="3" spans="1:13">
      <c r="A3" s="2">
        <v>11</v>
      </c>
      <c r="B3" s="25" t="s">
        <v>41</v>
      </c>
      <c r="D3" s="50"/>
      <c r="E3" s="50"/>
      <c r="F3" s="50"/>
      <c r="G3" s="51" t="s">
        <v>52</v>
      </c>
      <c r="H3" s="51"/>
      <c r="I3" s="51"/>
      <c r="K3" s="49"/>
      <c r="L3" s="1" t="s">
        <v>22</v>
      </c>
      <c r="M3" s="1" t="s">
        <v>23</v>
      </c>
    </row>
    <row r="4" spans="1:13">
      <c r="A4" s="2">
        <v>12</v>
      </c>
      <c r="B4" s="25" t="s">
        <v>42</v>
      </c>
      <c r="D4" s="50"/>
      <c r="E4" s="50"/>
      <c r="F4" s="50"/>
      <c r="G4" s="41" t="s">
        <v>8</v>
      </c>
      <c r="H4" s="41" t="s">
        <v>9</v>
      </c>
      <c r="I4" s="41" t="s">
        <v>10</v>
      </c>
      <c r="K4" s="2">
        <v>1</v>
      </c>
      <c r="L4" s="16">
        <v>1</v>
      </c>
      <c r="M4" s="16">
        <v>0.82</v>
      </c>
    </row>
    <row r="5" spans="1:13">
      <c r="A5" s="2">
        <v>13</v>
      </c>
      <c r="B5" s="25" t="s">
        <v>43</v>
      </c>
      <c r="D5" s="2">
        <v>101</v>
      </c>
      <c r="E5" s="2" t="s">
        <v>21</v>
      </c>
      <c r="F5" s="3">
        <v>7120</v>
      </c>
      <c r="G5" s="2">
        <v>514</v>
      </c>
      <c r="H5" s="2">
        <v>386</v>
      </c>
      <c r="I5" s="2">
        <v>337</v>
      </c>
      <c r="K5" s="3">
        <v>4000</v>
      </c>
      <c r="L5" s="16">
        <v>0.85</v>
      </c>
      <c r="M5" s="16">
        <v>0.78</v>
      </c>
    </row>
    <row r="6" spans="1:13">
      <c r="A6" s="2">
        <v>14</v>
      </c>
      <c r="B6" s="25" t="s">
        <v>44</v>
      </c>
      <c r="D6" s="2">
        <v>102</v>
      </c>
      <c r="E6" s="2" t="s">
        <v>24</v>
      </c>
      <c r="F6" s="3">
        <v>6470</v>
      </c>
      <c r="G6" s="2">
        <v>509</v>
      </c>
      <c r="H6" s="2">
        <v>381</v>
      </c>
      <c r="I6" s="2">
        <v>332</v>
      </c>
      <c r="K6" s="3">
        <v>6000</v>
      </c>
      <c r="L6" s="16">
        <v>0.8</v>
      </c>
      <c r="M6" s="16">
        <v>0.72</v>
      </c>
    </row>
    <row r="7" spans="1:13">
      <c r="D7" s="2">
        <v>103</v>
      </c>
      <c r="E7" s="2" t="s">
        <v>26</v>
      </c>
      <c r="F7" s="3">
        <v>6060</v>
      </c>
      <c r="G7" s="2">
        <v>504</v>
      </c>
      <c r="H7" s="2">
        <v>376</v>
      </c>
      <c r="I7" s="2">
        <v>327</v>
      </c>
    </row>
    <row r="8" spans="1:13">
      <c r="D8" s="2">
        <v>104</v>
      </c>
      <c r="E8" s="2" t="s">
        <v>27</v>
      </c>
      <c r="F8" s="3">
        <v>5680</v>
      </c>
      <c r="G8" s="2">
        <v>499</v>
      </c>
      <c r="H8" s="2">
        <v>371</v>
      </c>
      <c r="I8" s="2">
        <v>322</v>
      </c>
    </row>
    <row r="9" spans="1:13">
      <c r="D9" s="2">
        <v>105</v>
      </c>
      <c r="E9" s="2" t="s">
        <v>28</v>
      </c>
      <c r="F9" s="3">
        <v>5120</v>
      </c>
      <c r="G9" s="2">
        <v>494</v>
      </c>
      <c r="H9" s="2">
        <v>366</v>
      </c>
      <c r="I9" s="2">
        <v>317</v>
      </c>
    </row>
    <row r="10" spans="1:13">
      <c r="D10" s="2">
        <v>106</v>
      </c>
      <c r="E10" s="2" t="s">
        <v>35</v>
      </c>
      <c r="F10" s="3">
        <v>4860</v>
      </c>
      <c r="G10" s="2">
        <v>489</v>
      </c>
      <c r="H10" s="2">
        <v>361</v>
      </c>
      <c r="I10" s="2">
        <v>312</v>
      </c>
    </row>
    <row r="11" spans="1:13">
      <c r="D11" s="2">
        <v>107</v>
      </c>
      <c r="E11" s="2" t="s">
        <v>37</v>
      </c>
      <c r="F11" s="3">
        <v>4390</v>
      </c>
      <c r="G11" s="2">
        <v>484</v>
      </c>
      <c r="H11" s="2">
        <v>356</v>
      </c>
      <c r="I11" s="2">
        <v>307</v>
      </c>
    </row>
    <row r="12" spans="1:13">
      <c r="D12" s="2">
        <v>108</v>
      </c>
      <c r="E12" s="2" t="s">
        <v>39</v>
      </c>
      <c r="F12" s="3">
        <v>3850</v>
      </c>
      <c r="G12" s="2">
        <v>479</v>
      </c>
      <c r="H12" s="2">
        <v>351</v>
      </c>
      <c r="I12" s="2">
        <v>302</v>
      </c>
    </row>
  </sheetData>
  <sortState xmlns:xlrd2="http://schemas.microsoft.com/office/spreadsheetml/2017/richdata2" ref="B2:K5">
    <sortCondition descending="1" ref="E2"/>
  </sortState>
  <mergeCells count="7">
    <mergeCell ref="L2:M2"/>
    <mergeCell ref="K2:K3"/>
    <mergeCell ref="G2:I2"/>
    <mergeCell ref="D2:D4"/>
    <mergeCell ref="E2:E4"/>
    <mergeCell ref="F2:F4"/>
    <mergeCell ref="G3:I3"/>
  </mergeCells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5"/>
  <sheetViews>
    <sheetView workbookViewId="0"/>
  </sheetViews>
  <sheetFormatPr defaultRowHeight="13.5"/>
  <cols>
    <col min="1" max="1" width="7.5" bestFit="1" customWidth="1"/>
    <col min="2" max="2" width="9.5" bestFit="1" customWidth="1"/>
    <col min="3" max="4" width="7.5" bestFit="1" customWidth="1"/>
    <col min="5" max="6" width="5.5" bestFit="1" customWidth="1"/>
    <col min="7" max="7" width="10.5" bestFit="1" customWidth="1"/>
    <col min="8" max="8" width="5.5" bestFit="1" customWidth="1"/>
    <col min="9" max="9" width="9.5" bestFit="1" customWidth="1"/>
    <col min="10" max="10" width="10.5" bestFit="1" customWidth="1"/>
    <col min="11" max="14" width="9" customWidth="1"/>
  </cols>
  <sheetData>
    <row r="1" spans="1:10">
      <c r="A1" s="26" t="s">
        <v>4</v>
      </c>
      <c r="B1" s="27" t="s">
        <v>5</v>
      </c>
      <c r="C1" s="27" t="s">
        <v>0</v>
      </c>
      <c r="D1" s="27" t="s">
        <v>1</v>
      </c>
      <c r="E1" s="27" t="s">
        <v>12</v>
      </c>
      <c r="F1" s="27" t="s">
        <v>13</v>
      </c>
      <c r="G1" s="27" t="s">
        <v>14</v>
      </c>
      <c r="H1" s="27" t="s">
        <v>15</v>
      </c>
      <c r="I1" s="27" t="s">
        <v>16</v>
      </c>
      <c r="J1" s="28" t="s">
        <v>47</v>
      </c>
    </row>
    <row r="2" spans="1:10">
      <c r="A2" s="29">
        <v>11</v>
      </c>
      <c r="B2" s="30" t="str">
        <f>VLOOKUP(A2,テーブル!$A$3:$B$6,2,0)</f>
        <v>加藤企画</v>
      </c>
      <c r="C2" s="30">
        <v>101</v>
      </c>
      <c r="D2" s="30" t="str">
        <f>VLOOKUP(C2,テーブル!$D$5:$I$12,2,0)</f>
        <v>商品Ｅ</v>
      </c>
      <c r="E2" s="30">
        <v>14</v>
      </c>
      <c r="F2" s="31">
        <f>VLOOKUP(VLOOKUP(C2,テーブル!$D$5:$I$12,3,0),テーブル!$K$4:$M$6,INT(E2/10)+2,1)</f>
        <v>0.72</v>
      </c>
      <c r="G2" s="32">
        <f>ROUNDUP(VLOOKUP(C2,テーブル!$D$5:$I$12,3,0)*E2*F2,-1)</f>
        <v>71770</v>
      </c>
      <c r="H2" s="30" t="s">
        <v>10</v>
      </c>
      <c r="I2" s="32">
        <f>ROUNDDOWN(INDEX(テーブル!$G$5:$I$12,MATCH(C2,テーブル!$D$5:$D$12,0),MATCH(H2,テーブル!$G$4:$I$4,0))*E2,-2)</f>
        <v>4700</v>
      </c>
      <c r="J2" s="33">
        <f>G2+I2</f>
        <v>76470</v>
      </c>
    </row>
    <row r="3" spans="1:10">
      <c r="A3" s="29">
        <v>11</v>
      </c>
      <c r="B3" s="30" t="str">
        <f>VLOOKUP(A3,テーブル!$A$3:$B$6,2,0)</f>
        <v>加藤企画</v>
      </c>
      <c r="C3" s="30">
        <v>102</v>
      </c>
      <c r="D3" s="30" t="str">
        <f>VLOOKUP(C3,テーブル!$D$5:$I$12,2,0)</f>
        <v>商品Ｆ</v>
      </c>
      <c r="E3" s="30">
        <v>11</v>
      </c>
      <c r="F3" s="31">
        <f>VLOOKUP(VLOOKUP(C3,テーブル!$D$5:$I$12,3,0),テーブル!$K$4:$M$6,INT(E3/10)+2,1)</f>
        <v>0.72</v>
      </c>
      <c r="G3" s="32">
        <f>ROUNDUP(VLOOKUP(C3,テーブル!$D$5:$I$12,3,0)*E3*F3,-1)</f>
        <v>51250</v>
      </c>
      <c r="H3" s="30" t="s">
        <v>8</v>
      </c>
      <c r="I3" s="32">
        <f>ROUNDDOWN(INDEX(テーブル!$G$5:$I$12,MATCH(C3,テーブル!$D$5:$D$12,0),MATCH(H3,テーブル!$G$4:$I$4,0))*E3,-2)</f>
        <v>5500</v>
      </c>
      <c r="J3" s="33">
        <f t="shared" ref="J3:J33" si="0">G3+I3</f>
        <v>56750</v>
      </c>
    </row>
    <row r="4" spans="1:10">
      <c r="A4" s="29">
        <v>11</v>
      </c>
      <c r="B4" s="30" t="str">
        <f>VLOOKUP(A4,テーブル!$A$3:$B$6,2,0)</f>
        <v>加藤企画</v>
      </c>
      <c r="C4" s="30">
        <v>103</v>
      </c>
      <c r="D4" s="30" t="str">
        <f>VLOOKUP(C4,テーブル!$D$5:$I$12,2,0)</f>
        <v>商品Ｇ</v>
      </c>
      <c r="E4" s="30">
        <v>9</v>
      </c>
      <c r="F4" s="31">
        <f>VLOOKUP(VLOOKUP(C4,テーブル!$D$5:$I$12,3,0),テーブル!$K$4:$M$6,INT(E4/10)+2,1)</f>
        <v>0.8</v>
      </c>
      <c r="G4" s="32">
        <f>ROUNDUP(VLOOKUP(C4,テーブル!$D$5:$I$12,3,0)*E4*F4,-1)</f>
        <v>43640</v>
      </c>
      <c r="H4" s="30" t="s">
        <v>9</v>
      </c>
      <c r="I4" s="32">
        <f>ROUNDDOWN(INDEX(テーブル!$G$5:$I$12,MATCH(C4,テーブル!$D$5:$D$12,0),MATCH(H4,テーブル!$G$4:$I$4,0))*E4,-2)</f>
        <v>3300</v>
      </c>
      <c r="J4" s="33">
        <f t="shared" si="0"/>
        <v>46940</v>
      </c>
    </row>
    <row r="5" spans="1:10">
      <c r="A5" s="29">
        <v>11</v>
      </c>
      <c r="B5" s="30" t="str">
        <f>VLOOKUP(A5,テーブル!$A$3:$B$6,2,0)</f>
        <v>加藤企画</v>
      </c>
      <c r="C5" s="30">
        <v>104</v>
      </c>
      <c r="D5" s="30" t="str">
        <f>VLOOKUP(C5,テーブル!$D$5:$I$12,2,0)</f>
        <v>商品Ｈ</v>
      </c>
      <c r="E5" s="30">
        <v>12</v>
      </c>
      <c r="F5" s="31">
        <f>VLOOKUP(VLOOKUP(C5,テーブル!$D$5:$I$12,3,0),テーブル!$K$4:$M$6,INT(E5/10)+2,1)</f>
        <v>0.78</v>
      </c>
      <c r="G5" s="32">
        <f>ROUNDUP(VLOOKUP(C5,テーブル!$D$5:$I$12,3,0)*E5*F5,-1)</f>
        <v>53170</v>
      </c>
      <c r="H5" s="30" t="s">
        <v>9</v>
      </c>
      <c r="I5" s="32">
        <f>ROUNDDOWN(INDEX(テーブル!$G$5:$I$12,MATCH(C5,テーブル!$D$5:$D$12,0),MATCH(H5,テーブル!$G$4:$I$4,0))*E5,-2)</f>
        <v>4400</v>
      </c>
      <c r="J5" s="33">
        <f t="shared" si="0"/>
        <v>57570</v>
      </c>
    </row>
    <row r="6" spans="1:10">
      <c r="A6" s="29">
        <v>12</v>
      </c>
      <c r="B6" s="30" t="str">
        <f>VLOOKUP(A6,テーブル!$A$3:$B$6,2,0)</f>
        <v>南海商事</v>
      </c>
      <c r="C6" s="30">
        <v>101</v>
      </c>
      <c r="D6" s="30" t="str">
        <f>VLOOKUP(C6,テーブル!$D$5:$I$12,2,0)</f>
        <v>商品Ｅ</v>
      </c>
      <c r="E6" s="30">
        <v>14</v>
      </c>
      <c r="F6" s="31">
        <f>VLOOKUP(VLOOKUP(C6,テーブル!$D$5:$I$12,3,0),テーブル!$K$4:$M$6,INT(E6/10)+2,1)</f>
        <v>0.72</v>
      </c>
      <c r="G6" s="32">
        <f>ROUNDUP(VLOOKUP(C6,テーブル!$D$5:$I$12,3,0)*E6*F6,-1)</f>
        <v>71770</v>
      </c>
      <c r="H6" s="30" t="s">
        <v>10</v>
      </c>
      <c r="I6" s="32">
        <f>ROUNDDOWN(INDEX(テーブル!$G$5:$I$12,MATCH(C6,テーブル!$D$5:$D$12,0),MATCH(H6,テーブル!$G$4:$I$4,0))*E6,-2)</f>
        <v>4700</v>
      </c>
      <c r="J6" s="33">
        <f t="shared" si="0"/>
        <v>76470</v>
      </c>
    </row>
    <row r="7" spans="1:10">
      <c r="A7" s="29">
        <v>12</v>
      </c>
      <c r="B7" s="30" t="str">
        <f>VLOOKUP(A7,テーブル!$A$3:$B$6,2,0)</f>
        <v>南海商事</v>
      </c>
      <c r="C7" s="30">
        <v>102</v>
      </c>
      <c r="D7" s="30" t="str">
        <f>VLOOKUP(C7,テーブル!$D$5:$I$12,2,0)</f>
        <v>商品Ｆ</v>
      </c>
      <c r="E7" s="30">
        <v>9</v>
      </c>
      <c r="F7" s="31">
        <f>VLOOKUP(VLOOKUP(C7,テーブル!$D$5:$I$12,3,0),テーブル!$K$4:$M$6,INT(E7/10)+2,1)</f>
        <v>0.8</v>
      </c>
      <c r="G7" s="32">
        <f>ROUNDUP(VLOOKUP(C7,テーブル!$D$5:$I$12,3,0)*E7*F7,-1)</f>
        <v>46590</v>
      </c>
      <c r="H7" s="30" t="s">
        <v>8</v>
      </c>
      <c r="I7" s="32">
        <f>ROUNDDOWN(INDEX(テーブル!$G$5:$I$12,MATCH(C7,テーブル!$D$5:$D$12,0),MATCH(H7,テーブル!$G$4:$I$4,0))*E7,-2)</f>
        <v>4500</v>
      </c>
      <c r="J7" s="33">
        <f t="shared" si="0"/>
        <v>51090</v>
      </c>
    </row>
    <row r="8" spans="1:10">
      <c r="A8" s="29">
        <v>12</v>
      </c>
      <c r="B8" s="30" t="str">
        <f>VLOOKUP(A8,テーブル!$A$3:$B$6,2,0)</f>
        <v>南海商事</v>
      </c>
      <c r="C8" s="30">
        <v>103</v>
      </c>
      <c r="D8" s="30" t="str">
        <f>VLOOKUP(C8,テーブル!$D$5:$I$12,2,0)</f>
        <v>商品Ｇ</v>
      </c>
      <c r="E8" s="30">
        <v>15</v>
      </c>
      <c r="F8" s="31">
        <f>VLOOKUP(VLOOKUP(C8,テーブル!$D$5:$I$12,3,0),テーブル!$K$4:$M$6,INT(E8/10)+2,1)</f>
        <v>0.72</v>
      </c>
      <c r="G8" s="32">
        <f>ROUNDUP(VLOOKUP(C8,テーブル!$D$5:$I$12,3,0)*E8*F8,-1)</f>
        <v>65450</v>
      </c>
      <c r="H8" s="30" t="s">
        <v>9</v>
      </c>
      <c r="I8" s="32">
        <f>ROUNDDOWN(INDEX(テーブル!$G$5:$I$12,MATCH(C8,テーブル!$D$5:$D$12,0),MATCH(H8,テーブル!$G$4:$I$4,0))*E8,-2)</f>
        <v>5600</v>
      </c>
      <c r="J8" s="33">
        <f t="shared" si="0"/>
        <v>71050</v>
      </c>
    </row>
    <row r="9" spans="1:10">
      <c r="A9" s="29">
        <v>12</v>
      </c>
      <c r="B9" s="30" t="str">
        <f>VLOOKUP(A9,テーブル!$A$3:$B$6,2,0)</f>
        <v>南海商事</v>
      </c>
      <c r="C9" s="30">
        <v>104</v>
      </c>
      <c r="D9" s="30" t="str">
        <f>VLOOKUP(C9,テーブル!$D$5:$I$12,2,0)</f>
        <v>商品Ｈ</v>
      </c>
      <c r="E9" s="30">
        <v>13</v>
      </c>
      <c r="F9" s="31">
        <f>VLOOKUP(VLOOKUP(C9,テーブル!$D$5:$I$12,3,0),テーブル!$K$4:$M$6,INT(E9/10)+2,1)</f>
        <v>0.78</v>
      </c>
      <c r="G9" s="32">
        <f>ROUNDUP(VLOOKUP(C9,テーブル!$D$5:$I$12,3,0)*E9*F9,-1)</f>
        <v>57600</v>
      </c>
      <c r="H9" s="30" t="s">
        <v>10</v>
      </c>
      <c r="I9" s="32">
        <f>ROUNDDOWN(INDEX(テーブル!$G$5:$I$12,MATCH(C9,テーブル!$D$5:$D$12,0),MATCH(H9,テーブル!$G$4:$I$4,0))*E9,-2)</f>
        <v>4100</v>
      </c>
      <c r="J9" s="33">
        <f t="shared" si="0"/>
        <v>61700</v>
      </c>
    </row>
    <row r="10" spans="1:10">
      <c r="A10" s="29">
        <v>13</v>
      </c>
      <c r="B10" s="30" t="str">
        <f>VLOOKUP(A10,テーブル!$A$3:$B$6,2,0)</f>
        <v>丸山商店</v>
      </c>
      <c r="C10" s="30">
        <v>101</v>
      </c>
      <c r="D10" s="30" t="str">
        <f>VLOOKUP(C10,テーブル!$D$5:$I$12,2,0)</f>
        <v>商品Ｅ</v>
      </c>
      <c r="E10" s="30">
        <v>11</v>
      </c>
      <c r="F10" s="31">
        <f>VLOOKUP(VLOOKUP(C10,テーブル!$D$5:$I$12,3,0),テーブル!$K$4:$M$6,INT(E10/10)+2,1)</f>
        <v>0.72</v>
      </c>
      <c r="G10" s="32">
        <f>ROUNDUP(VLOOKUP(C10,テーブル!$D$5:$I$12,3,0)*E10*F10,-1)</f>
        <v>56400</v>
      </c>
      <c r="H10" s="30" t="s">
        <v>9</v>
      </c>
      <c r="I10" s="32">
        <f>ROUNDDOWN(INDEX(テーブル!$G$5:$I$12,MATCH(C10,テーブル!$D$5:$D$12,0),MATCH(H10,テーブル!$G$4:$I$4,0))*E10,-2)</f>
        <v>4200</v>
      </c>
      <c r="J10" s="33">
        <f t="shared" si="0"/>
        <v>60600</v>
      </c>
    </row>
    <row r="11" spans="1:10">
      <c r="A11" s="29">
        <v>13</v>
      </c>
      <c r="B11" s="30" t="str">
        <f>VLOOKUP(A11,テーブル!$A$3:$B$6,2,0)</f>
        <v>丸山商店</v>
      </c>
      <c r="C11" s="30">
        <v>102</v>
      </c>
      <c r="D11" s="30" t="str">
        <f>VLOOKUP(C11,テーブル!$D$5:$I$12,2,0)</f>
        <v>商品Ｆ</v>
      </c>
      <c r="E11" s="30">
        <v>8</v>
      </c>
      <c r="F11" s="31">
        <f>VLOOKUP(VLOOKUP(C11,テーブル!$D$5:$I$12,3,0),テーブル!$K$4:$M$6,INT(E11/10)+2,1)</f>
        <v>0.8</v>
      </c>
      <c r="G11" s="32">
        <f>ROUNDUP(VLOOKUP(C11,テーブル!$D$5:$I$12,3,0)*E11*F11,-1)</f>
        <v>41410</v>
      </c>
      <c r="H11" s="30" t="s">
        <v>10</v>
      </c>
      <c r="I11" s="32">
        <f>ROUNDDOWN(INDEX(テーブル!$G$5:$I$12,MATCH(C11,テーブル!$D$5:$D$12,0),MATCH(H11,テーブル!$G$4:$I$4,0))*E11,-2)</f>
        <v>2600</v>
      </c>
      <c r="J11" s="33">
        <f t="shared" si="0"/>
        <v>44010</v>
      </c>
    </row>
    <row r="12" spans="1:10">
      <c r="A12" s="29">
        <v>13</v>
      </c>
      <c r="B12" s="30" t="str">
        <f>VLOOKUP(A12,テーブル!$A$3:$B$6,2,0)</f>
        <v>丸山商店</v>
      </c>
      <c r="C12" s="30">
        <v>103</v>
      </c>
      <c r="D12" s="30" t="str">
        <f>VLOOKUP(C12,テーブル!$D$5:$I$12,2,0)</f>
        <v>商品Ｇ</v>
      </c>
      <c r="E12" s="30">
        <v>9</v>
      </c>
      <c r="F12" s="31">
        <f>VLOOKUP(VLOOKUP(C12,テーブル!$D$5:$I$12,3,0),テーブル!$K$4:$M$6,INT(E12/10)+2,1)</f>
        <v>0.8</v>
      </c>
      <c r="G12" s="32">
        <f>ROUNDUP(VLOOKUP(C12,テーブル!$D$5:$I$12,3,0)*E12*F12,-1)</f>
        <v>43640</v>
      </c>
      <c r="H12" s="30" t="s">
        <v>8</v>
      </c>
      <c r="I12" s="32">
        <f>ROUNDDOWN(INDEX(テーブル!$G$5:$I$12,MATCH(C12,テーブル!$D$5:$D$12,0),MATCH(H12,テーブル!$G$4:$I$4,0))*E12,-2)</f>
        <v>4500</v>
      </c>
      <c r="J12" s="33">
        <f t="shared" si="0"/>
        <v>48140</v>
      </c>
    </row>
    <row r="13" spans="1:10">
      <c r="A13" s="29">
        <v>13</v>
      </c>
      <c r="B13" s="30" t="str">
        <f>VLOOKUP(A13,テーブル!$A$3:$B$6,2,0)</f>
        <v>丸山商店</v>
      </c>
      <c r="C13" s="30">
        <v>104</v>
      </c>
      <c r="D13" s="30" t="str">
        <f>VLOOKUP(C13,テーブル!$D$5:$I$12,2,0)</f>
        <v>商品Ｈ</v>
      </c>
      <c r="E13" s="30">
        <v>19</v>
      </c>
      <c r="F13" s="31">
        <f>VLOOKUP(VLOOKUP(C13,テーブル!$D$5:$I$12,3,0),テーブル!$K$4:$M$6,INT(E13/10)+2,1)</f>
        <v>0.78</v>
      </c>
      <c r="G13" s="32">
        <f>ROUNDUP(VLOOKUP(C13,テーブル!$D$5:$I$12,3,0)*E13*F13,-1)</f>
        <v>84180</v>
      </c>
      <c r="H13" s="30" t="s">
        <v>10</v>
      </c>
      <c r="I13" s="32">
        <f>ROUNDDOWN(INDEX(テーブル!$G$5:$I$12,MATCH(C13,テーブル!$D$5:$D$12,0),MATCH(H13,テーブル!$G$4:$I$4,0))*E13,-2)</f>
        <v>6100</v>
      </c>
      <c r="J13" s="33">
        <f t="shared" si="0"/>
        <v>90280</v>
      </c>
    </row>
    <row r="14" spans="1:10">
      <c r="A14" s="29">
        <v>14</v>
      </c>
      <c r="B14" s="30" t="str">
        <f>VLOOKUP(A14,テーブル!$A$3:$B$6,2,0)</f>
        <v>ＦＫ物産</v>
      </c>
      <c r="C14" s="30">
        <v>101</v>
      </c>
      <c r="D14" s="30" t="str">
        <f>VLOOKUP(C14,テーブル!$D$5:$I$12,2,0)</f>
        <v>商品Ｅ</v>
      </c>
      <c r="E14" s="30">
        <v>7</v>
      </c>
      <c r="F14" s="31">
        <f>VLOOKUP(VLOOKUP(C14,テーブル!$D$5:$I$12,3,0),テーブル!$K$4:$M$6,INT(E14/10)+2,1)</f>
        <v>0.8</v>
      </c>
      <c r="G14" s="32">
        <f>ROUNDUP(VLOOKUP(C14,テーブル!$D$5:$I$12,3,0)*E14*F14,-1)</f>
        <v>39880</v>
      </c>
      <c r="H14" s="30" t="s">
        <v>9</v>
      </c>
      <c r="I14" s="32">
        <f>ROUNDDOWN(INDEX(テーブル!$G$5:$I$12,MATCH(C14,テーブル!$D$5:$D$12,0),MATCH(H14,テーブル!$G$4:$I$4,0))*E14,-2)</f>
        <v>2700</v>
      </c>
      <c r="J14" s="33">
        <f t="shared" si="0"/>
        <v>42580</v>
      </c>
    </row>
    <row r="15" spans="1:10">
      <c r="A15" s="29">
        <v>14</v>
      </c>
      <c r="B15" s="30" t="str">
        <f>VLOOKUP(A15,テーブル!$A$3:$B$6,2,0)</f>
        <v>ＦＫ物産</v>
      </c>
      <c r="C15" s="30">
        <v>102</v>
      </c>
      <c r="D15" s="30" t="str">
        <f>VLOOKUP(C15,テーブル!$D$5:$I$12,2,0)</f>
        <v>商品Ｆ</v>
      </c>
      <c r="E15" s="30">
        <v>13</v>
      </c>
      <c r="F15" s="31">
        <f>VLOOKUP(VLOOKUP(C15,テーブル!$D$5:$I$12,3,0),テーブル!$K$4:$M$6,INT(E15/10)+2,1)</f>
        <v>0.72</v>
      </c>
      <c r="G15" s="32">
        <f>ROUNDUP(VLOOKUP(C15,テーブル!$D$5:$I$12,3,0)*E15*F15,-1)</f>
        <v>60560</v>
      </c>
      <c r="H15" s="30" t="s">
        <v>8</v>
      </c>
      <c r="I15" s="32">
        <f>ROUNDDOWN(INDEX(テーブル!$G$5:$I$12,MATCH(C15,テーブル!$D$5:$D$12,0),MATCH(H15,テーブル!$G$4:$I$4,0))*E15,-2)</f>
        <v>6600</v>
      </c>
      <c r="J15" s="33">
        <f t="shared" si="0"/>
        <v>67160</v>
      </c>
    </row>
    <row r="16" spans="1:10">
      <c r="A16" s="29">
        <v>14</v>
      </c>
      <c r="B16" s="30" t="str">
        <f>VLOOKUP(A16,テーブル!$A$3:$B$6,2,0)</f>
        <v>ＦＫ物産</v>
      </c>
      <c r="C16" s="30">
        <v>103</v>
      </c>
      <c r="D16" s="30" t="str">
        <f>VLOOKUP(C16,テーブル!$D$5:$I$12,2,0)</f>
        <v>商品Ｇ</v>
      </c>
      <c r="E16" s="30">
        <v>14</v>
      </c>
      <c r="F16" s="31">
        <f>VLOOKUP(VLOOKUP(C16,テーブル!$D$5:$I$12,3,0),テーブル!$K$4:$M$6,INT(E16/10)+2,1)</f>
        <v>0.72</v>
      </c>
      <c r="G16" s="32">
        <f>ROUNDUP(VLOOKUP(C16,テーブル!$D$5:$I$12,3,0)*E16*F16,-1)</f>
        <v>61090</v>
      </c>
      <c r="H16" s="30" t="s">
        <v>10</v>
      </c>
      <c r="I16" s="32">
        <f>ROUNDDOWN(INDEX(テーブル!$G$5:$I$12,MATCH(C16,テーブル!$D$5:$D$12,0),MATCH(H16,テーブル!$G$4:$I$4,0))*E16,-2)</f>
        <v>4500</v>
      </c>
      <c r="J16" s="33">
        <f t="shared" si="0"/>
        <v>65590</v>
      </c>
    </row>
    <row r="17" spans="1:10">
      <c r="A17" s="29">
        <v>14</v>
      </c>
      <c r="B17" s="30" t="str">
        <f>VLOOKUP(A17,テーブル!$A$3:$B$6,2,0)</f>
        <v>ＦＫ物産</v>
      </c>
      <c r="C17" s="30">
        <v>104</v>
      </c>
      <c r="D17" s="30" t="str">
        <f>VLOOKUP(C17,テーブル!$D$5:$I$12,2,0)</f>
        <v>商品Ｈ</v>
      </c>
      <c r="E17" s="30">
        <v>8</v>
      </c>
      <c r="F17" s="31">
        <f>VLOOKUP(VLOOKUP(C17,テーブル!$D$5:$I$12,3,0),テーブル!$K$4:$M$6,INT(E17/10)+2,1)</f>
        <v>0.85</v>
      </c>
      <c r="G17" s="32">
        <f>ROUNDUP(VLOOKUP(C17,テーブル!$D$5:$I$12,3,0)*E17*F17,-1)</f>
        <v>38630</v>
      </c>
      <c r="H17" s="30" t="s">
        <v>9</v>
      </c>
      <c r="I17" s="32">
        <f>ROUNDDOWN(INDEX(テーブル!$G$5:$I$12,MATCH(C17,テーブル!$D$5:$D$12,0),MATCH(H17,テーブル!$G$4:$I$4,0))*E17,-2)</f>
        <v>2900</v>
      </c>
      <c r="J17" s="33">
        <f t="shared" si="0"/>
        <v>41530</v>
      </c>
    </row>
    <row r="18" spans="1:10">
      <c r="A18" s="29">
        <v>11</v>
      </c>
      <c r="B18" s="30" t="str">
        <f>VLOOKUP(A18,テーブル!$A$3:$B$6,2,0)</f>
        <v>加藤企画</v>
      </c>
      <c r="C18" s="30">
        <v>105</v>
      </c>
      <c r="D18" s="30" t="str">
        <f>VLOOKUP(C18,テーブル!$D$5:$I$12,2,0)</f>
        <v>商品Ｉ</v>
      </c>
      <c r="E18" s="30">
        <v>10</v>
      </c>
      <c r="F18" s="31">
        <f>VLOOKUP(VLOOKUP(C18,テーブル!$D$5:$I$12,3,0),テーブル!$K$4:$M$6,INT(E18/10)+2,1)</f>
        <v>0.78</v>
      </c>
      <c r="G18" s="32">
        <f>ROUNDUP(VLOOKUP(C18,テーブル!$D$5:$I$12,3,0)*E18*F18,-1)</f>
        <v>39940</v>
      </c>
      <c r="H18" s="30" t="s">
        <v>10</v>
      </c>
      <c r="I18" s="32">
        <f>ROUNDDOWN(INDEX(テーブル!$G$5:$I$12,MATCH(C18,テーブル!$D$5:$D$12,0),MATCH(H18,テーブル!$G$4:$I$4,0))*E18,-2)</f>
        <v>3100</v>
      </c>
      <c r="J18" s="33">
        <f t="shared" si="0"/>
        <v>43040</v>
      </c>
    </row>
    <row r="19" spans="1:10">
      <c r="A19" s="29">
        <v>11</v>
      </c>
      <c r="B19" s="30" t="str">
        <f>VLOOKUP(A19,テーブル!$A$3:$B$6,2,0)</f>
        <v>加藤企画</v>
      </c>
      <c r="C19" s="30">
        <v>106</v>
      </c>
      <c r="D19" s="30" t="str">
        <f>VLOOKUP(C19,テーブル!$D$5:$I$12,2,0)</f>
        <v>商品Ｊ</v>
      </c>
      <c r="E19" s="30">
        <v>12</v>
      </c>
      <c r="F19" s="31">
        <f>VLOOKUP(VLOOKUP(C19,テーブル!$D$5:$I$12,3,0),テーブル!$K$4:$M$6,INT(E19/10)+2,1)</f>
        <v>0.78</v>
      </c>
      <c r="G19" s="32">
        <f>ROUNDUP(VLOOKUP(C19,テーブル!$D$5:$I$12,3,0)*E19*F19,-1)</f>
        <v>45490</v>
      </c>
      <c r="H19" s="30" t="s">
        <v>8</v>
      </c>
      <c r="I19" s="32">
        <f>ROUNDDOWN(INDEX(テーブル!$G$5:$I$12,MATCH(C19,テーブル!$D$5:$D$12,0),MATCH(H19,テーブル!$G$4:$I$4,0))*E19,-2)</f>
        <v>5800</v>
      </c>
      <c r="J19" s="33">
        <f t="shared" si="0"/>
        <v>51290</v>
      </c>
    </row>
    <row r="20" spans="1:10">
      <c r="A20" s="29">
        <v>11</v>
      </c>
      <c r="B20" s="30" t="str">
        <f>VLOOKUP(A20,テーブル!$A$3:$B$6,2,0)</f>
        <v>加藤企画</v>
      </c>
      <c r="C20" s="30">
        <v>107</v>
      </c>
      <c r="D20" s="30" t="str">
        <f>VLOOKUP(C20,テーブル!$D$5:$I$12,2,0)</f>
        <v>商品Ｋ</v>
      </c>
      <c r="E20" s="30">
        <v>9</v>
      </c>
      <c r="F20" s="31">
        <f>VLOOKUP(VLOOKUP(C20,テーブル!$D$5:$I$12,3,0),テーブル!$K$4:$M$6,INT(E20/10)+2,1)</f>
        <v>0.85</v>
      </c>
      <c r="G20" s="32">
        <f>ROUNDUP(VLOOKUP(C20,テーブル!$D$5:$I$12,3,0)*E20*F20,-1)</f>
        <v>33590</v>
      </c>
      <c r="H20" s="30" t="s">
        <v>9</v>
      </c>
      <c r="I20" s="32">
        <f>ROUNDDOWN(INDEX(テーブル!$G$5:$I$12,MATCH(C20,テーブル!$D$5:$D$12,0),MATCH(H20,テーブル!$G$4:$I$4,0))*E20,-2)</f>
        <v>3200</v>
      </c>
      <c r="J20" s="33">
        <f t="shared" si="0"/>
        <v>36790</v>
      </c>
    </row>
    <row r="21" spans="1:10">
      <c r="A21" s="29">
        <v>11</v>
      </c>
      <c r="B21" s="30" t="str">
        <f>VLOOKUP(A21,テーブル!$A$3:$B$6,2,0)</f>
        <v>加藤企画</v>
      </c>
      <c r="C21" s="30">
        <v>108</v>
      </c>
      <c r="D21" s="30" t="str">
        <f>VLOOKUP(C21,テーブル!$D$5:$I$12,2,0)</f>
        <v>商品Ｌ</v>
      </c>
      <c r="E21" s="30">
        <v>8</v>
      </c>
      <c r="F21" s="31">
        <f>VLOOKUP(VLOOKUP(C21,テーブル!$D$5:$I$12,3,0),テーブル!$K$4:$M$6,INT(E21/10)+2,1)</f>
        <v>1</v>
      </c>
      <c r="G21" s="32">
        <f>ROUNDUP(VLOOKUP(C21,テーブル!$D$5:$I$12,3,0)*E21*F21,-1)</f>
        <v>30800</v>
      </c>
      <c r="H21" s="30" t="s">
        <v>9</v>
      </c>
      <c r="I21" s="32">
        <f>ROUNDDOWN(INDEX(テーブル!$G$5:$I$12,MATCH(C21,テーブル!$D$5:$D$12,0),MATCH(H21,テーブル!$G$4:$I$4,0))*E21,-2)</f>
        <v>2800</v>
      </c>
      <c r="J21" s="33">
        <f t="shared" si="0"/>
        <v>33600</v>
      </c>
    </row>
    <row r="22" spans="1:10">
      <c r="A22" s="29">
        <v>12</v>
      </c>
      <c r="B22" s="30" t="str">
        <f>VLOOKUP(A22,テーブル!$A$3:$B$6,2,0)</f>
        <v>南海商事</v>
      </c>
      <c r="C22" s="30">
        <v>105</v>
      </c>
      <c r="D22" s="30" t="str">
        <f>VLOOKUP(C22,テーブル!$D$5:$I$12,2,0)</f>
        <v>商品Ｉ</v>
      </c>
      <c r="E22" s="30">
        <v>7</v>
      </c>
      <c r="F22" s="31">
        <f>VLOOKUP(VLOOKUP(C22,テーブル!$D$5:$I$12,3,0),テーブル!$K$4:$M$6,INT(E22/10)+2,1)</f>
        <v>0.85</v>
      </c>
      <c r="G22" s="32">
        <f>ROUNDUP(VLOOKUP(C22,テーブル!$D$5:$I$12,3,0)*E22*F22,-1)</f>
        <v>30470</v>
      </c>
      <c r="H22" s="30" t="s">
        <v>10</v>
      </c>
      <c r="I22" s="32">
        <f>ROUNDDOWN(INDEX(テーブル!$G$5:$I$12,MATCH(C22,テーブル!$D$5:$D$12,0),MATCH(H22,テーブル!$G$4:$I$4,0))*E22,-2)</f>
        <v>2200</v>
      </c>
      <c r="J22" s="33">
        <f t="shared" si="0"/>
        <v>32670</v>
      </c>
    </row>
    <row r="23" spans="1:10">
      <c r="A23" s="29">
        <v>12</v>
      </c>
      <c r="B23" s="30" t="str">
        <f>VLOOKUP(A23,テーブル!$A$3:$B$6,2,0)</f>
        <v>南海商事</v>
      </c>
      <c r="C23" s="30">
        <v>106</v>
      </c>
      <c r="D23" s="30" t="str">
        <f>VLOOKUP(C23,テーブル!$D$5:$I$12,2,0)</f>
        <v>商品Ｊ</v>
      </c>
      <c r="E23" s="30">
        <v>10</v>
      </c>
      <c r="F23" s="31">
        <f>VLOOKUP(VLOOKUP(C23,テーブル!$D$5:$I$12,3,0),テーブル!$K$4:$M$6,INT(E23/10)+2,1)</f>
        <v>0.78</v>
      </c>
      <c r="G23" s="32">
        <f>ROUNDUP(VLOOKUP(C23,テーブル!$D$5:$I$12,3,0)*E23*F23,-1)</f>
        <v>37910</v>
      </c>
      <c r="H23" s="30" t="s">
        <v>8</v>
      </c>
      <c r="I23" s="32">
        <f>ROUNDDOWN(INDEX(テーブル!$G$5:$I$12,MATCH(C23,テーブル!$D$5:$D$12,0),MATCH(H23,テーブル!$G$4:$I$4,0))*E23,-2)</f>
        <v>4800</v>
      </c>
      <c r="J23" s="33">
        <f t="shared" si="0"/>
        <v>42710</v>
      </c>
    </row>
    <row r="24" spans="1:10">
      <c r="A24" s="29">
        <v>12</v>
      </c>
      <c r="B24" s="30" t="str">
        <f>VLOOKUP(A24,テーブル!$A$3:$B$6,2,0)</f>
        <v>南海商事</v>
      </c>
      <c r="C24" s="30">
        <v>107</v>
      </c>
      <c r="D24" s="30" t="str">
        <f>VLOOKUP(C24,テーブル!$D$5:$I$12,2,0)</f>
        <v>商品Ｋ</v>
      </c>
      <c r="E24" s="30">
        <v>11</v>
      </c>
      <c r="F24" s="31">
        <f>VLOOKUP(VLOOKUP(C24,テーブル!$D$5:$I$12,3,0),テーブル!$K$4:$M$6,INT(E24/10)+2,1)</f>
        <v>0.78</v>
      </c>
      <c r="G24" s="32">
        <f>ROUNDUP(VLOOKUP(C24,テーブル!$D$5:$I$12,3,0)*E24*F24,-1)</f>
        <v>37670</v>
      </c>
      <c r="H24" s="30" t="s">
        <v>9</v>
      </c>
      <c r="I24" s="32">
        <f>ROUNDDOWN(INDEX(テーブル!$G$5:$I$12,MATCH(C24,テーブル!$D$5:$D$12,0),MATCH(H24,テーブル!$G$4:$I$4,0))*E24,-2)</f>
        <v>3900</v>
      </c>
      <c r="J24" s="33">
        <f t="shared" si="0"/>
        <v>41570</v>
      </c>
    </row>
    <row r="25" spans="1:10">
      <c r="A25" s="29">
        <v>12</v>
      </c>
      <c r="B25" s="30" t="str">
        <f>VLOOKUP(A25,テーブル!$A$3:$B$6,2,0)</f>
        <v>南海商事</v>
      </c>
      <c r="C25" s="30">
        <v>108</v>
      </c>
      <c r="D25" s="30" t="str">
        <f>VLOOKUP(C25,テーブル!$D$5:$I$12,2,0)</f>
        <v>商品Ｌ</v>
      </c>
      <c r="E25" s="30">
        <v>13</v>
      </c>
      <c r="F25" s="31">
        <f>VLOOKUP(VLOOKUP(C25,テーブル!$D$5:$I$12,3,0),テーブル!$K$4:$M$6,INT(E25/10)+2,1)</f>
        <v>0.82</v>
      </c>
      <c r="G25" s="32">
        <f>ROUNDUP(VLOOKUP(C25,テーブル!$D$5:$I$12,3,0)*E25*F25,-1)</f>
        <v>41050</v>
      </c>
      <c r="H25" s="30" t="s">
        <v>10</v>
      </c>
      <c r="I25" s="32">
        <f>ROUNDDOWN(INDEX(テーブル!$G$5:$I$12,MATCH(C25,テーブル!$D$5:$D$12,0),MATCH(H25,テーブル!$G$4:$I$4,0))*E25,-2)</f>
        <v>3900</v>
      </c>
      <c r="J25" s="33">
        <f t="shared" si="0"/>
        <v>44950</v>
      </c>
    </row>
    <row r="26" spans="1:10">
      <c r="A26" s="29">
        <v>13</v>
      </c>
      <c r="B26" s="30" t="str">
        <f>VLOOKUP(A26,テーブル!$A$3:$B$6,2,0)</f>
        <v>丸山商店</v>
      </c>
      <c r="C26" s="30">
        <v>105</v>
      </c>
      <c r="D26" s="30" t="str">
        <f>VLOOKUP(C26,テーブル!$D$5:$I$12,2,0)</f>
        <v>商品Ｉ</v>
      </c>
      <c r="E26" s="30">
        <v>15</v>
      </c>
      <c r="F26" s="31">
        <f>VLOOKUP(VLOOKUP(C26,テーブル!$D$5:$I$12,3,0),テーブル!$K$4:$M$6,INT(E26/10)+2,1)</f>
        <v>0.78</v>
      </c>
      <c r="G26" s="32">
        <f>ROUNDUP(VLOOKUP(C26,テーブル!$D$5:$I$12,3,0)*E26*F26,-1)</f>
        <v>59910</v>
      </c>
      <c r="H26" s="30" t="s">
        <v>9</v>
      </c>
      <c r="I26" s="32">
        <f>ROUNDDOWN(INDEX(テーブル!$G$5:$I$12,MATCH(C26,テーブル!$D$5:$D$12,0),MATCH(H26,テーブル!$G$4:$I$4,0))*E26,-2)</f>
        <v>5400</v>
      </c>
      <c r="J26" s="33">
        <f t="shared" si="0"/>
        <v>65310</v>
      </c>
    </row>
    <row r="27" spans="1:10">
      <c r="A27" s="29">
        <v>13</v>
      </c>
      <c r="B27" s="30" t="str">
        <f>VLOOKUP(A27,テーブル!$A$3:$B$6,2,0)</f>
        <v>丸山商店</v>
      </c>
      <c r="C27" s="30">
        <v>106</v>
      </c>
      <c r="D27" s="30" t="str">
        <f>VLOOKUP(C27,テーブル!$D$5:$I$12,2,0)</f>
        <v>商品Ｊ</v>
      </c>
      <c r="E27" s="30">
        <v>12</v>
      </c>
      <c r="F27" s="31">
        <f>VLOOKUP(VLOOKUP(C27,テーブル!$D$5:$I$12,3,0),テーブル!$K$4:$M$6,INT(E27/10)+2,1)</f>
        <v>0.78</v>
      </c>
      <c r="G27" s="32">
        <f>ROUNDUP(VLOOKUP(C27,テーブル!$D$5:$I$12,3,0)*E27*F27,-1)</f>
        <v>45490</v>
      </c>
      <c r="H27" s="30" t="s">
        <v>10</v>
      </c>
      <c r="I27" s="32">
        <f>ROUNDDOWN(INDEX(テーブル!$G$5:$I$12,MATCH(C27,テーブル!$D$5:$D$12,0),MATCH(H27,テーブル!$G$4:$I$4,0))*E27,-2)</f>
        <v>3700</v>
      </c>
      <c r="J27" s="33">
        <f t="shared" si="0"/>
        <v>49190</v>
      </c>
    </row>
    <row r="28" spans="1:10">
      <c r="A28" s="29">
        <v>13</v>
      </c>
      <c r="B28" s="30" t="str">
        <f>VLOOKUP(A28,テーブル!$A$3:$B$6,2,0)</f>
        <v>丸山商店</v>
      </c>
      <c r="C28" s="30">
        <v>107</v>
      </c>
      <c r="D28" s="30" t="str">
        <f>VLOOKUP(C28,テーブル!$D$5:$I$12,2,0)</f>
        <v>商品Ｋ</v>
      </c>
      <c r="E28" s="30">
        <v>9</v>
      </c>
      <c r="F28" s="31">
        <f>VLOOKUP(VLOOKUP(C28,テーブル!$D$5:$I$12,3,0),テーブル!$K$4:$M$6,INT(E28/10)+2,1)</f>
        <v>0.85</v>
      </c>
      <c r="G28" s="32">
        <f>ROUNDUP(VLOOKUP(C28,テーブル!$D$5:$I$12,3,0)*E28*F28,-1)</f>
        <v>33590</v>
      </c>
      <c r="H28" s="30" t="s">
        <v>8</v>
      </c>
      <c r="I28" s="32">
        <f>ROUNDDOWN(INDEX(テーブル!$G$5:$I$12,MATCH(C28,テーブル!$D$5:$D$12,0),MATCH(H28,テーブル!$G$4:$I$4,0))*E28,-2)</f>
        <v>4300</v>
      </c>
      <c r="J28" s="33">
        <f t="shared" si="0"/>
        <v>37890</v>
      </c>
    </row>
    <row r="29" spans="1:10">
      <c r="A29" s="29">
        <v>13</v>
      </c>
      <c r="B29" s="30" t="str">
        <f>VLOOKUP(A29,テーブル!$A$3:$B$6,2,0)</f>
        <v>丸山商店</v>
      </c>
      <c r="C29" s="30">
        <v>108</v>
      </c>
      <c r="D29" s="30" t="str">
        <f>VLOOKUP(C29,テーブル!$D$5:$I$12,2,0)</f>
        <v>商品Ｌ</v>
      </c>
      <c r="E29" s="30">
        <v>8</v>
      </c>
      <c r="F29" s="31">
        <f>VLOOKUP(VLOOKUP(C29,テーブル!$D$5:$I$12,3,0),テーブル!$K$4:$M$6,INT(E29/10)+2,1)</f>
        <v>1</v>
      </c>
      <c r="G29" s="32">
        <f>ROUNDUP(VLOOKUP(C29,テーブル!$D$5:$I$12,3,0)*E29*F29,-1)</f>
        <v>30800</v>
      </c>
      <c r="H29" s="30" t="s">
        <v>10</v>
      </c>
      <c r="I29" s="32">
        <f>ROUNDDOWN(INDEX(テーブル!$G$5:$I$12,MATCH(C29,テーブル!$D$5:$D$12,0),MATCH(H29,テーブル!$G$4:$I$4,0))*E29,-2)</f>
        <v>2400</v>
      </c>
      <c r="J29" s="33">
        <f t="shared" si="0"/>
        <v>33200</v>
      </c>
    </row>
    <row r="30" spans="1:10">
      <c r="A30" s="29">
        <v>14</v>
      </c>
      <c r="B30" s="30" t="str">
        <f>VLOOKUP(A30,テーブル!$A$3:$B$6,2,0)</f>
        <v>ＦＫ物産</v>
      </c>
      <c r="C30" s="30">
        <v>105</v>
      </c>
      <c r="D30" s="30" t="str">
        <f>VLOOKUP(C30,テーブル!$D$5:$I$12,2,0)</f>
        <v>商品Ｉ</v>
      </c>
      <c r="E30" s="30">
        <v>14</v>
      </c>
      <c r="F30" s="31">
        <f>VLOOKUP(VLOOKUP(C30,テーブル!$D$5:$I$12,3,0),テーブル!$K$4:$M$6,INT(E30/10)+2,1)</f>
        <v>0.78</v>
      </c>
      <c r="G30" s="32">
        <f>ROUNDUP(VLOOKUP(C30,テーブル!$D$5:$I$12,3,0)*E30*F30,-1)</f>
        <v>55920</v>
      </c>
      <c r="H30" s="30" t="s">
        <v>9</v>
      </c>
      <c r="I30" s="32">
        <f>ROUNDDOWN(INDEX(テーブル!$G$5:$I$12,MATCH(C30,テーブル!$D$5:$D$12,0),MATCH(H30,テーブル!$G$4:$I$4,0))*E30,-2)</f>
        <v>5100</v>
      </c>
      <c r="J30" s="33">
        <f t="shared" si="0"/>
        <v>61020</v>
      </c>
    </row>
    <row r="31" spans="1:10">
      <c r="A31" s="29">
        <v>14</v>
      </c>
      <c r="B31" s="30" t="str">
        <f>VLOOKUP(A31,テーブル!$A$3:$B$6,2,0)</f>
        <v>ＦＫ物産</v>
      </c>
      <c r="C31" s="30">
        <v>106</v>
      </c>
      <c r="D31" s="30" t="str">
        <f>VLOOKUP(C31,テーブル!$D$5:$I$12,2,0)</f>
        <v>商品Ｊ</v>
      </c>
      <c r="E31" s="30">
        <v>10</v>
      </c>
      <c r="F31" s="31">
        <f>VLOOKUP(VLOOKUP(C31,テーブル!$D$5:$I$12,3,0),テーブル!$K$4:$M$6,INT(E31/10)+2,1)</f>
        <v>0.78</v>
      </c>
      <c r="G31" s="32">
        <f>ROUNDUP(VLOOKUP(C31,テーブル!$D$5:$I$12,3,0)*E31*F31,-1)</f>
        <v>37910</v>
      </c>
      <c r="H31" s="30" t="s">
        <v>8</v>
      </c>
      <c r="I31" s="32">
        <f>ROUNDDOWN(INDEX(テーブル!$G$5:$I$12,MATCH(C31,テーブル!$D$5:$D$12,0),MATCH(H31,テーブル!$G$4:$I$4,0))*E31,-2)</f>
        <v>4800</v>
      </c>
      <c r="J31" s="33">
        <f t="shared" si="0"/>
        <v>42710</v>
      </c>
    </row>
    <row r="32" spans="1:10">
      <c r="A32" s="29">
        <v>14</v>
      </c>
      <c r="B32" s="30" t="str">
        <f>VLOOKUP(A32,テーブル!$A$3:$B$6,2,0)</f>
        <v>ＦＫ物産</v>
      </c>
      <c r="C32" s="30">
        <v>107</v>
      </c>
      <c r="D32" s="30" t="str">
        <f>VLOOKUP(C32,テーブル!$D$5:$I$12,2,0)</f>
        <v>商品Ｋ</v>
      </c>
      <c r="E32" s="30">
        <v>11</v>
      </c>
      <c r="F32" s="31">
        <f>VLOOKUP(VLOOKUP(C32,テーブル!$D$5:$I$12,3,0),テーブル!$K$4:$M$6,INT(E32/10)+2,1)</f>
        <v>0.78</v>
      </c>
      <c r="G32" s="32">
        <f>ROUNDUP(VLOOKUP(C32,テーブル!$D$5:$I$12,3,0)*E32*F32,-1)</f>
        <v>37670</v>
      </c>
      <c r="H32" s="30" t="s">
        <v>10</v>
      </c>
      <c r="I32" s="32">
        <f>ROUNDDOWN(INDEX(テーブル!$G$5:$I$12,MATCH(C32,テーブル!$D$5:$D$12,0),MATCH(H32,テーブル!$G$4:$I$4,0))*E32,-2)</f>
        <v>3300</v>
      </c>
      <c r="J32" s="33">
        <f t="shared" si="0"/>
        <v>40970</v>
      </c>
    </row>
    <row r="33" spans="1:10">
      <c r="A33" s="29">
        <v>14</v>
      </c>
      <c r="B33" s="30" t="str">
        <f>VLOOKUP(A33,テーブル!$A$3:$B$6,2,0)</f>
        <v>ＦＫ物産</v>
      </c>
      <c r="C33" s="30">
        <v>108</v>
      </c>
      <c r="D33" s="30" t="str">
        <f>VLOOKUP(C33,テーブル!$D$5:$I$12,2,0)</f>
        <v>商品Ｌ</v>
      </c>
      <c r="E33" s="30">
        <v>9</v>
      </c>
      <c r="F33" s="31">
        <f>VLOOKUP(VLOOKUP(C33,テーブル!$D$5:$I$12,3,0),テーブル!$K$4:$M$6,INT(E33/10)+2,1)</f>
        <v>1</v>
      </c>
      <c r="G33" s="32">
        <f>ROUNDUP(VLOOKUP(C33,テーブル!$D$5:$I$12,3,0)*E33*F33,-1)</f>
        <v>34650</v>
      </c>
      <c r="H33" s="30" t="s">
        <v>9</v>
      </c>
      <c r="I33" s="32">
        <f>ROUNDDOWN(INDEX(テーブル!$G$5:$I$12,MATCH(C33,テーブル!$D$5:$D$12,0),MATCH(H33,テーブル!$G$4:$I$4,0))*E33,-2)</f>
        <v>3100</v>
      </c>
      <c r="J33" s="33">
        <f t="shared" si="0"/>
        <v>37750</v>
      </c>
    </row>
    <row r="34" spans="1:10">
      <c r="A34" s="29"/>
      <c r="B34" s="30"/>
      <c r="C34" s="30"/>
      <c r="D34" s="30"/>
      <c r="E34" s="30"/>
      <c r="F34" s="30"/>
      <c r="G34" s="30"/>
      <c r="H34" s="30"/>
      <c r="I34" s="30"/>
      <c r="J34" s="34"/>
    </row>
    <row r="35" spans="1:10" ht="14.25" thickBot="1">
      <c r="A35" s="35"/>
      <c r="B35" s="36" t="s">
        <v>3</v>
      </c>
      <c r="C35" s="37"/>
      <c r="D35" s="37"/>
      <c r="E35" s="37">
        <f>SUM(E2:E33)</f>
        <v>354</v>
      </c>
      <c r="F35" s="37"/>
      <c r="G35" s="38">
        <f t="shared" ref="G35:J35" si="1">SUM(G2:G33)</f>
        <v>1519890</v>
      </c>
      <c r="H35" s="38"/>
      <c r="I35" s="38">
        <f t="shared" si="1"/>
        <v>132700</v>
      </c>
      <c r="J35" s="39">
        <f t="shared" si="1"/>
        <v>1652590</v>
      </c>
    </row>
  </sheetData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15"/>
  <sheetViews>
    <sheetView workbookViewId="0">
      <selection sqref="A1:F1"/>
    </sheetView>
  </sheetViews>
  <sheetFormatPr defaultRowHeight="13.5"/>
  <cols>
    <col min="1" max="2" width="9.5" bestFit="1" customWidth="1"/>
    <col min="3" max="3" width="10.5" bestFit="1" customWidth="1"/>
    <col min="4" max="4" width="9.5" bestFit="1" customWidth="1"/>
    <col min="5" max="5" width="10.5" bestFit="1" customWidth="1"/>
    <col min="6" max="6" width="5.5" bestFit="1" customWidth="1"/>
    <col min="7" max="7" width="5.5" customWidth="1"/>
    <col min="8" max="9" width="7.5" bestFit="1" customWidth="1"/>
    <col min="10" max="12" width="9.5" bestFit="1" customWidth="1"/>
    <col min="13" max="13" width="4.375" customWidth="1"/>
    <col min="14" max="14" width="47.125" bestFit="1" customWidth="1"/>
    <col min="15" max="17" width="9.5" bestFit="1" customWidth="1"/>
    <col min="18" max="25" width="9" customWidth="1"/>
  </cols>
  <sheetData>
    <row r="1" spans="1:17" ht="14.25" thickBot="1">
      <c r="A1" s="52" t="s">
        <v>48</v>
      </c>
      <c r="B1" s="52"/>
      <c r="C1" s="52"/>
      <c r="D1" s="52"/>
      <c r="E1" s="52"/>
      <c r="F1" s="52"/>
      <c r="G1" s="15"/>
      <c r="H1" s="52" t="s">
        <v>11</v>
      </c>
      <c r="I1" s="52"/>
      <c r="J1" s="52"/>
      <c r="K1" s="52"/>
      <c r="L1" s="52"/>
    </row>
    <row r="2" spans="1:17">
      <c r="A2" s="4" t="s">
        <v>5</v>
      </c>
      <c r="B2" s="5" t="s">
        <v>12</v>
      </c>
      <c r="C2" s="5" t="s">
        <v>17</v>
      </c>
      <c r="D2" s="5" t="s">
        <v>6</v>
      </c>
      <c r="E2" s="5" t="s">
        <v>7</v>
      </c>
      <c r="F2" s="6" t="s">
        <v>18</v>
      </c>
      <c r="G2" s="17"/>
      <c r="H2" s="4" t="s">
        <v>1</v>
      </c>
      <c r="I2" s="5" t="s">
        <v>12</v>
      </c>
      <c r="J2" s="5" t="s">
        <v>14</v>
      </c>
      <c r="K2" s="5" t="s">
        <v>16</v>
      </c>
      <c r="L2" s="6" t="s">
        <v>17</v>
      </c>
      <c r="N2" s="14" t="s">
        <v>19</v>
      </c>
      <c r="O2" s="53">
        <f>DSUM(データ表!$A$1:$J$33,7,O6:P7)</f>
        <v>746900</v>
      </c>
      <c r="P2" s="42"/>
    </row>
    <row r="3" spans="1:17">
      <c r="A3" s="40" t="s">
        <v>41</v>
      </c>
      <c r="B3" s="19">
        <f>DSUM(データ表!$A$1:$J$33,B$2,$A$10:$A$11)</f>
        <v>85</v>
      </c>
      <c r="C3" s="19">
        <f>DSUM(データ表!$A$1:$J$33,C$2,$A$10:$A$11)</f>
        <v>402450</v>
      </c>
      <c r="D3" s="3">
        <f>ROUNDUP(IF(OR(B3&gt;=90,C3&gt;=400000),C3*7.8%,C3*6.9%),0)</f>
        <v>31392</v>
      </c>
      <c r="E3" s="3">
        <f>C3-D3</f>
        <v>371058</v>
      </c>
      <c r="F3" s="8" t="str">
        <f>IF(E3&lt;AVERAGE($E$3:$E$6),"調査","")</f>
        <v>調査</v>
      </c>
      <c r="G3" s="18"/>
      <c r="H3" s="7" t="s">
        <v>21</v>
      </c>
      <c r="I3" s="19">
        <f>SUMIF(データ表!$D$2:$D$33,$H3,データ表!$E$2:$E$33)</f>
        <v>46</v>
      </c>
      <c r="J3" s="19">
        <f>SUMIF(データ表!$D$2:$D$33,$H3,データ表!$G$2:$G$33)</f>
        <v>239820</v>
      </c>
      <c r="K3" s="19">
        <f>SUMIF(データ表!$D$2:$D$33,$H3,データ表!$I$2:$I$33)</f>
        <v>16300</v>
      </c>
      <c r="L3" s="20">
        <f>SUMIF(データ表!$D$2:$D$33,$H3,データ表!$J$2:$J$33)</f>
        <v>256120</v>
      </c>
      <c r="N3" s="7" t="s">
        <v>51</v>
      </c>
      <c r="O3" s="20">
        <f>DCOUNTA(データ表!$A$1:$J$33,4,O8:P9)</f>
        <v>17</v>
      </c>
      <c r="P3" s="18"/>
    </row>
    <row r="4" spans="1:17" ht="14.25" thickBot="1">
      <c r="A4" s="40" t="s">
        <v>44</v>
      </c>
      <c r="B4" s="19">
        <f>DSUM(データ表!$A$1:$J$33,B$2,$B$10:$B$11)</f>
        <v>86</v>
      </c>
      <c r="C4" s="19">
        <f>DSUM(データ表!$A$1:$J$33,C$2,$B$10:$B$11)</f>
        <v>399310</v>
      </c>
      <c r="D4" s="3">
        <f>ROUNDUP(IF(OR(B4&gt;=90,C4&gt;=400000),C4*7.8%,C4*6.9%),0)</f>
        <v>27553</v>
      </c>
      <c r="E4" s="3">
        <f>C4-D4</f>
        <v>371757</v>
      </c>
      <c r="F4" s="8" t="str">
        <f>IF(E4&lt;AVERAGE($E$3:$E$6),"調査","")</f>
        <v>調査</v>
      </c>
      <c r="G4" s="18"/>
      <c r="H4" s="7" t="s">
        <v>24</v>
      </c>
      <c r="I4" s="19">
        <f>SUMIF(データ表!$D$2:$D$33,$H4,データ表!$E$2:$E$33)</f>
        <v>41</v>
      </c>
      <c r="J4" s="19">
        <f>SUMIF(データ表!$D$2:$D$33,$H4,データ表!$G$2:$G$33)</f>
        <v>199810</v>
      </c>
      <c r="K4" s="19">
        <f>SUMIF(データ表!$D$2:$D$33,$H4,データ表!$I$2:$I$33)</f>
        <v>19200</v>
      </c>
      <c r="L4" s="20">
        <f>SUMIF(データ表!$D$2:$D$33,$H4,データ表!$J$2:$J$33)</f>
        <v>219010</v>
      </c>
      <c r="N4" s="9" t="s">
        <v>25</v>
      </c>
      <c r="O4" s="22">
        <f>DAVERAGE(データ表!$A$1:$J$33,10,O10:P11)</f>
        <v>44127.692307692305</v>
      </c>
      <c r="P4" s="43"/>
    </row>
    <row r="5" spans="1:17" ht="14.25" thickBot="1">
      <c r="A5" s="40" t="s">
        <v>42</v>
      </c>
      <c r="B5" s="19">
        <f>DSUM(データ表!$A$1:$J$33,B$2,$C$10:$C$11)</f>
        <v>92</v>
      </c>
      <c r="C5" s="19">
        <f>DSUM(データ表!$A$1:$J$33,C$2,$C$10:$C$11)</f>
        <v>422210</v>
      </c>
      <c r="D5" s="3">
        <f>ROUNDUP(IF(OR(B5&gt;=90,C5&gt;=400000),C5*7.8%,C5*6.9%),0)</f>
        <v>32933</v>
      </c>
      <c r="E5" s="3">
        <f>C5-D5</f>
        <v>389277</v>
      </c>
      <c r="F5" s="8" t="str">
        <f>IF(E5&lt;AVERAGE($E$3:$E$6),"調査","")</f>
        <v/>
      </c>
      <c r="G5" s="18"/>
      <c r="H5" s="7" t="s">
        <v>26</v>
      </c>
      <c r="I5" s="19">
        <f>SUMIF(データ表!$D$2:$D$33,$H5,データ表!$E$2:$E$33)</f>
        <v>47</v>
      </c>
      <c r="J5" s="19">
        <f>SUMIF(データ表!$D$2:$D$33,$H5,データ表!$G$2:$G$33)</f>
        <v>213820</v>
      </c>
      <c r="K5" s="19">
        <f>SUMIF(データ表!$D$2:$D$33,$H5,データ表!$I$2:$I$33)</f>
        <v>17900</v>
      </c>
      <c r="L5" s="20">
        <f>SUMIF(データ表!$D$2:$D$33,$H5,データ表!$J$2:$J$33)</f>
        <v>231720</v>
      </c>
    </row>
    <row r="6" spans="1:17">
      <c r="A6" s="40" t="s">
        <v>43</v>
      </c>
      <c r="B6" s="19">
        <f>DSUM(データ表!$A$1:$J$33,B$2,$D$10:$D$11)</f>
        <v>91</v>
      </c>
      <c r="C6" s="19">
        <f>DSUM(データ表!$A$1:$J$33,C$2,$D$10:$D$11)</f>
        <v>428620</v>
      </c>
      <c r="D6" s="3">
        <f>ROUNDUP(IF(OR(B6&gt;=90,C6&gt;=400000),C6*7.8%,C6*6.9%),0)</f>
        <v>33433</v>
      </c>
      <c r="E6" s="3">
        <f>C6-D6</f>
        <v>395187</v>
      </c>
      <c r="F6" s="8" t="str">
        <f>IF(E6&lt;AVERAGE($E$3:$E$6),"調査","")</f>
        <v/>
      </c>
      <c r="G6" s="18"/>
      <c r="H6" s="7" t="s">
        <v>27</v>
      </c>
      <c r="I6" s="19">
        <f>SUMIF(データ表!$D$2:$D$33,$H6,データ表!$E$2:$E$33)</f>
        <v>52</v>
      </c>
      <c r="J6" s="19">
        <f>SUMIF(データ表!$D$2:$D$33,$H6,データ表!$G$2:$G$33)</f>
        <v>233580</v>
      </c>
      <c r="K6" s="19">
        <f>SUMIF(データ表!$D$2:$D$33,$H6,データ表!$I$2:$I$33)</f>
        <v>17500</v>
      </c>
      <c r="L6" s="20">
        <f>SUMIF(データ表!$D$2:$D$33,$H6,データ表!$J$2:$J$33)</f>
        <v>251080</v>
      </c>
      <c r="O6" s="4" t="s">
        <v>53</v>
      </c>
      <c r="P6" s="6" t="s">
        <v>53</v>
      </c>
      <c r="Q6" s="17"/>
    </row>
    <row r="7" spans="1:17" ht="14.25" thickBot="1">
      <c r="A7" s="7"/>
      <c r="B7" s="2"/>
      <c r="C7" s="2"/>
      <c r="D7" s="2"/>
      <c r="E7" s="2"/>
      <c r="F7" s="8"/>
      <c r="G7" s="18"/>
      <c r="H7" s="7" t="s">
        <v>28</v>
      </c>
      <c r="I7" s="19">
        <f>SUMIF(データ表!$D$2:$D$33,$H7,データ表!$E$2:$E$33)</f>
        <v>46</v>
      </c>
      <c r="J7" s="19">
        <f>SUMIF(データ表!$D$2:$D$33,$H7,データ表!$G$2:$G$33)</f>
        <v>186240</v>
      </c>
      <c r="K7" s="19">
        <f>SUMIF(データ表!$D$2:$D$33,$H7,データ表!$I$2:$I$33)</f>
        <v>15800</v>
      </c>
      <c r="L7" s="20">
        <f>SUMIF(データ表!$D$2:$D$33,$H7,データ表!$J$2:$J$33)</f>
        <v>202040</v>
      </c>
      <c r="O7" s="9" t="s">
        <v>29</v>
      </c>
      <c r="P7" s="12" t="s">
        <v>30</v>
      </c>
      <c r="Q7" s="18"/>
    </row>
    <row r="8" spans="1:17" ht="14.25" thickBot="1">
      <c r="A8" s="13" t="s">
        <v>49</v>
      </c>
      <c r="B8" s="11">
        <f>SUM(B3:B6)</f>
        <v>354</v>
      </c>
      <c r="C8" s="10">
        <f>SUM(C3:C6)</f>
        <v>1652590</v>
      </c>
      <c r="D8" s="10">
        <f>SUM(D3:D6)</f>
        <v>125311</v>
      </c>
      <c r="E8" s="10">
        <f>SUM(E3:E6)</f>
        <v>1527279</v>
      </c>
      <c r="F8" s="12"/>
      <c r="G8" s="18"/>
      <c r="H8" s="7" t="s">
        <v>36</v>
      </c>
      <c r="I8" s="19">
        <f>SUMIF(データ表!$D$2:$D$33,$H8,データ表!$E$2:$E$33)</f>
        <v>44</v>
      </c>
      <c r="J8" s="19">
        <f>SUMIF(データ表!$D$2:$D$33,$H8,データ表!$G$2:$G$33)</f>
        <v>166800</v>
      </c>
      <c r="K8" s="19">
        <f>SUMIF(データ表!$D$2:$D$33,$H8,データ表!$I$2:$I$33)</f>
        <v>19100</v>
      </c>
      <c r="L8" s="20">
        <f>SUMIF(データ表!$D$2:$D$33,$H8,データ表!$J$2:$J$33)</f>
        <v>185900</v>
      </c>
      <c r="O8" s="4" t="s">
        <v>54</v>
      </c>
      <c r="P8" s="6" t="s">
        <v>55</v>
      </c>
      <c r="Q8" s="17"/>
    </row>
    <row r="9" spans="1:17" ht="14.25" thickBot="1">
      <c r="E9" s="23"/>
      <c r="H9" s="7" t="s">
        <v>38</v>
      </c>
      <c r="I9" s="19">
        <f>SUMIF(データ表!$D$2:$D$33,$H9,データ表!$E$2:$E$33)</f>
        <v>40</v>
      </c>
      <c r="J9" s="19">
        <f>SUMIF(データ表!$D$2:$D$33,$H9,データ表!$G$2:$G$33)</f>
        <v>142520</v>
      </c>
      <c r="K9" s="19">
        <f>SUMIF(データ表!$D$2:$D$33,$H9,データ表!$I$2:$I$33)</f>
        <v>14700</v>
      </c>
      <c r="L9" s="20">
        <f>SUMIF(データ表!$D$2:$D$33,$H9,データ表!$J$2:$J$33)</f>
        <v>157220</v>
      </c>
      <c r="O9" s="9" t="s">
        <v>31</v>
      </c>
      <c r="P9" s="12" t="s">
        <v>32</v>
      </c>
      <c r="Q9" s="18"/>
    </row>
    <row r="10" spans="1:17" ht="14.25" thickBot="1">
      <c r="A10" s="44" t="s">
        <v>5</v>
      </c>
      <c r="B10" s="44" t="s">
        <v>5</v>
      </c>
      <c r="C10" s="44" t="s">
        <v>5</v>
      </c>
      <c r="D10" s="44" t="s">
        <v>5</v>
      </c>
      <c r="H10" s="9" t="s">
        <v>40</v>
      </c>
      <c r="I10" s="21">
        <f>SUMIF(データ表!$D$2:$D$33,$H10,データ表!$E$2:$E$33)</f>
        <v>38</v>
      </c>
      <c r="J10" s="21">
        <f>SUMIF(データ表!$D$2:$D$33,$H10,データ表!$G$2:$G$33)</f>
        <v>137300</v>
      </c>
      <c r="K10" s="21">
        <f>SUMIF(データ表!$D$2:$D$33,$H10,データ表!$I$2:$I$33)</f>
        <v>12200</v>
      </c>
      <c r="L10" s="22">
        <f>SUMIF(データ表!$D$2:$D$33,$H10,データ表!$J$2:$J$33)</f>
        <v>149500</v>
      </c>
      <c r="O10" s="26" t="s">
        <v>53</v>
      </c>
      <c r="P10" s="28" t="s">
        <v>52</v>
      </c>
      <c r="Q10" s="17"/>
    </row>
    <row r="11" spans="1:17" ht="14.25" thickBot="1">
      <c r="A11" s="45" t="s">
        <v>41</v>
      </c>
      <c r="B11" s="45" t="s">
        <v>44</v>
      </c>
      <c r="C11" s="45" t="s">
        <v>42</v>
      </c>
      <c r="D11" s="45" t="s">
        <v>43</v>
      </c>
      <c r="O11" s="9" t="s">
        <v>33</v>
      </c>
      <c r="P11" s="12" t="s">
        <v>34</v>
      </c>
    </row>
    <row r="12" spans="1:17">
      <c r="H12" s="17"/>
      <c r="I12" s="17"/>
      <c r="J12" s="17"/>
      <c r="K12" s="17"/>
      <c r="L12" s="17"/>
    </row>
    <row r="13" spans="1:17">
      <c r="D13" s="24"/>
      <c r="H13" s="18"/>
      <c r="I13" s="18"/>
      <c r="J13" s="18"/>
      <c r="K13" s="18"/>
      <c r="L13" s="18"/>
    </row>
    <row r="14" spans="1:17">
      <c r="H14" s="17"/>
      <c r="I14" s="17"/>
      <c r="J14" s="17"/>
      <c r="K14" s="18"/>
      <c r="L14" s="18"/>
    </row>
    <row r="15" spans="1:17">
      <c r="H15" s="18"/>
      <c r="I15" s="18"/>
      <c r="J15" s="18"/>
      <c r="K15" s="18"/>
      <c r="L15" s="18"/>
    </row>
  </sheetData>
  <sortState xmlns:xlrd2="http://schemas.microsoft.com/office/spreadsheetml/2017/richdata2" ref="A3:F6">
    <sortCondition ref="E3:E6"/>
  </sortState>
  <mergeCells count="2">
    <mergeCell ref="A1:F1"/>
    <mergeCell ref="H1:L1"/>
  </mergeCells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テーブル</vt:lpstr>
      <vt:lpstr>データ表</vt:lpstr>
      <vt:lpstr>計算表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日本情報処理検定協会</dc:creator>
  <cp:lastPrinted>2020-12-24T02:56:04Z</cp:lastPrinted>
  <dcterms:created xsi:type="dcterms:W3CDTF">2019-03-28T01:49:55Z</dcterms:created>
  <dcterms:modified xsi:type="dcterms:W3CDTF">2021-02-19T03:03:20Z</dcterms:modified>
</cp:coreProperties>
</file>