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問題制作フォルダー\02_問題集\1表計算\2021(令和03)年度\3_SP初段\S-08\"/>
    </mc:Choice>
  </mc:AlternateContent>
  <xr:revisionPtr revIDLastSave="0" documentId="13_ncr:1_{CCFCAE33-490B-4E90-A044-608F186D76CA}" xr6:coauthVersionLast="46" xr6:coauthVersionMax="46" xr10:uidLastSave="{00000000-0000-0000-0000-000000000000}"/>
  <bookViews>
    <workbookView xWindow="25665" yWindow="1830" windowWidth="18000" windowHeight="9360" xr2:uid="{00000000-000D-0000-FFFF-FFFF00000000}"/>
  </bookViews>
  <sheets>
    <sheet name="テーブル" sheetId="1" r:id="rId1"/>
    <sheet name="前期" sheetId="3" r:id="rId2"/>
    <sheet name="後期" sheetId="5" r:id="rId3"/>
    <sheet name="計算表" sheetId="4" r:id="rId4"/>
  </sheets>
  <calcPr calcId="191029"/>
</workbook>
</file>

<file path=xl/calcChain.xml><?xml version="1.0" encoding="utf-8"?>
<calcChain xmlns="http://schemas.openxmlformats.org/spreadsheetml/2006/main">
  <c r="G7" i="4" l="1"/>
  <c r="G6" i="4"/>
  <c r="G5" i="4"/>
  <c r="G4" i="4"/>
  <c r="L4" i="4"/>
  <c r="J5" i="4"/>
  <c r="M7" i="4"/>
  <c r="I4" i="4"/>
  <c r="H4" i="4"/>
  <c r="M6" i="4"/>
  <c r="L5" i="4"/>
  <c r="M4" i="4"/>
  <c r="J4" i="4"/>
  <c r="K6" i="4"/>
  <c r="J7" i="4"/>
  <c r="H6" i="4"/>
  <c r="I6" i="4"/>
  <c r="H7" i="4"/>
  <c r="K4" i="4"/>
  <c r="K7" i="4"/>
  <c r="L7" i="4"/>
  <c r="L6" i="4"/>
  <c r="J6" i="4"/>
  <c r="K5" i="4"/>
  <c r="I5" i="4"/>
  <c r="I7" i="4"/>
  <c r="H5" i="4"/>
  <c r="M5" i="4"/>
  <c r="F25" i="5" l="1"/>
  <c r="G25" i="5" s="1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F6" i="5"/>
  <c r="G6" i="5" s="1"/>
  <c r="F5" i="5"/>
  <c r="G5" i="5" s="1"/>
  <c r="F4" i="5"/>
  <c r="G4" i="5" s="1"/>
  <c r="F3" i="5"/>
  <c r="G3" i="5" s="1"/>
  <c r="F2" i="5"/>
  <c r="G2" i="5" s="1"/>
  <c r="F3" i="3"/>
  <c r="F4" i="3"/>
  <c r="F5" i="3"/>
  <c r="F6" i="3"/>
  <c r="F7" i="3"/>
  <c r="F8" i="3"/>
  <c r="F9" i="3"/>
  <c r="F10" i="3"/>
  <c r="F11" i="3"/>
  <c r="F12" i="3"/>
  <c r="F13" i="3"/>
  <c r="F14" i="3"/>
  <c r="G14" i="3" s="1"/>
  <c r="H14" i="3" s="1"/>
  <c r="I14" i="3" s="1"/>
  <c r="F15" i="3"/>
  <c r="F16" i="3"/>
  <c r="G16" i="3" s="1"/>
  <c r="H16" i="3" s="1"/>
  <c r="I16" i="3" s="1"/>
  <c r="F17" i="3"/>
  <c r="G17" i="3" s="1"/>
  <c r="H17" i="3" s="1"/>
  <c r="F18" i="3"/>
  <c r="G18" i="3" s="1"/>
  <c r="F19" i="3"/>
  <c r="F20" i="3"/>
  <c r="G20" i="3" s="1"/>
  <c r="H20" i="3" s="1"/>
  <c r="I20" i="3" s="1"/>
  <c r="F21" i="3"/>
  <c r="G21" i="3" s="1"/>
  <c r="H21" i="3" s="1"/>
  <c r="F22" i="3"/>
  <c r="G22" i="3" s="1"/>
  <c r="F23" i="3"/>
  <c r="G23" i="3" s="1"/>
  <c r="H23" i="3" s="1"/>
  <c r="I23" i="3" s="1"/>
  <c r="F24" i="3"/>
  <c r="G24" i="3" s="1"/>
  <c r="H24" i="3" s="1"/>
  <c r="I24" i="3" s="1"/>
  <c r="F25" i="3"/>
  <c r="G25" i="3" s="1"/>
  <c r="H25" i="3" s="1"/>
  <c r="I25" i="3" s="1"/>
  <c r="F2" i="3"/>
  <c r="G15" i="3"/>
  <c r="H15" i="3" s="1"/>
  <c r="I15" i="3" s="1"/>
  <c r="G19" i="3"/>
  <c r="H19" i="3" s="1"/>
  <c r="I19" i="3" s="1"/>
  <c r="I21" i="3" l="1"/>
  <c r="I17" i="3"/>
  <c r="H2" i="5"/>
  <c r="H3" i="5"/>
  <c r="H4" i="5"/>
  <c r="H5" i="5"/>
  <c r="H6" i="5"/>
  <c r="I6" i="5" s="1"/>
  <c r="H7" i="5"/>
  <c r="I7" i="5" s="1"/>
  <c r="H8" i="5"/>
  <c r="I8" i="5" s="1"/>
  <c r="H9" i="5"/>
  <c r="I9" i="5" s="1"/>
  <c r="H10" i="5"/>
  <c r="I10" i="5" s="1"/>
  <c r="H11" i="5"/>
  <c r="I11" i="5" s="1"/>
  <c r="H12" i="5"/>
  <c r="I12" i="5" s="1"/>
  <c r="H13" i="5"/>
  <c r="I13" i="5" s="1"/>
  <c r="H14" i="5"/>
  <c r="I14" i="5" s="1"/>
  <c r="H15" i="5"/>
  <c r="I15" i="5" s="1"/>
  <c r="H16" i="5"/>
  <c r="I16" i="5" s="1"/>
  <c r="H17" i="5"/>
  <c r="I17" i="5" s="1"/>
  <c r="H18" i="5"/>
  <c r="I18" i="5" s="1"/>
  <c r="H19" i="5"/>
  <c r="I19" i="5" s="1"/>
  <c r="H20" i="5"/>
  <c r="I20" i="5" s="1"/>
  <c r="H21" i="5"/>
  <c r="I21" i="5" s="1"/>
  <c r="H22" i="5"/>
  <c r="I22" i="5" s="1"/>
  <c r="H23" i="5"/>
  <c r="I23" i="5" s="1"/>
  <c r="H24" i="5"/>
  <c r="I24" i="5" s="1"/>
  <c r="H25" i="5"/>
  <c r="I25" i="5" s="1"/>
  <c r="H22" i="3"/>
  <c r="H18" i="3"/>
  <c r="I18" i="3" s="1"/>
  <c r="D25" i="5"/>
  <c r="B25" i="5"/>
  <c r="D24" i="5"/>
  <c r="B24" i="5"/>
  <c r="D23" i="5"/>
  <c r="B23" i="5"/>
  <c r="D22" i="5"/>
  <c r="B22" i="5"/>
  <c r="D21" i="5"/>
  <c r="B21" i="5"/>
  <c r="D20" i="5"/>
  <c r="B20" i="5"/>
  <c r="D19" i="5"/>
  <c r="B19" i="5"/>
  <c r="D18" i="5"/>
  <c r="B18" i="5"/>
  <c r="D17" i="5"/>
  <c r="B17" i="5"/>
  <c r="D16" i="5"/>
  <c r="B16" i="5"/>
  <c r="D15" i="5"/>
  <c r="B15" i="5"/>
  <c r="D14" i="5"/>
  <c r="B14" i="5"/>
  <c r="D13" i="5"/>
  <c r="B13" i="5"/>
  <c r="E27" i="5"/>
  <c r="G13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B3" i="5"/>
  <c r="B4" i="5"/>
  <c r="B5" i="5"/>
  <c r="B6" i="5"/>
  <c r="B7" i="5"/>
  <c r="B8" i="5"/>
  <c r="B9" i="5"/>
  <c r="B10" i="5"/>
  <c r="B11" i="5"/>
  <c r="B12" i="5"/>
  <c r="B2" i="5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" i="3"/>
  <c r="I2" i="5" l="1"/>
  <c r="I3" i="5"/>
  <c r="I5" i="5"/>
  <c r="I4" i="5"/>
  <c r="B8" i="4"/>
  <c r="B6" i="4"/>
  <c r="B7" i="4"/>
  <c r="B5" i="4"/>
  <c r="D7" i="4"/>
  <c r="C7" i="4"/>
  <c r="D6" i="4"/>
  <c r="C6" i="4"/>
  <c r="I22" i="3"/>
  <c r="D8" i="4" s="1"/>
  <c r="C8" i="4"/>
  <c r="H13" i="3"/>
  <c r="I13" i="3" s="1"/>
  <c r="G2" i="3"/>
  <c r="G6" i="3"/>
  <c r="H6" i="3" s="1"/>
  <c r="I6" i="3" s="1"/>
  <c r="G10" i="3"/>
  <c r="D12" i="5"/>
  <c r="D11" i="5"/>
  <c r="D10" i="5"/>
  <c r="D9" i="5"/>
  <c r="D8" i="5"/>
  <c r="D7" i="5"/>
  <c r="D6" i="5"/>
  <c r="D5" i="5"/>
  <c r="D4" i="5"/>
  <c r="D3" i="5"/>
  <c r="D2" i="5"/>
  <c r="G3" i="3"/>
  <c r="H3" i="3" s="1"/>
  <c r="G4" i="3"/>
  <c r="H4" i="3" s="1"/>
  <c r="G7" i="3"/>
  <c r="G8" i="3"/>
  <c r="H8" i="3" s="1"/>
  <c r="I8" i="3" s="1"/>
  <c r="G12" i="3"/>
  <c r="D3" i="3"/>
  <c r="D4" i="3"/>
  <c r="D5" i="3"/>
  <c r="D6" i="3"/>
  <c r="D7" i="3"/>
  <c r="D8" i="3"/>
  <c r="D9" i="3"/>
  <c r="D10" i="3"/>
  <c r="D11" i="3"/>
  <c r="D12" i="3"/>
  <c r="D2" i="3"/>
  <c r="E27" i="3"/>
  <c r="K9" i="4" l="1"/>
  <c r="L9" i="4"/>
  <c r="M9" i="4"/>
  <c r="I4" i="3"/>
  <c r="I3" i="3"/>
  <c r="B4" i="4"/>
  <c r="G11" i="3"/>
  <c r="H11" i="3" s="1"/>
  <c r="I11" i="3" s="1"/>
  <c r="G5" i="3"/>
  <c r="B3" i="4"/>
  <c r="G9" i="3"/>
  <c r="H9" i="3" s="1"/>
  <c r="I9" i="3" s="1"/>
  <c r="H12" i="3"/>
  <c r="H10" i="3"/>
  <c r="I10" i="3" s="1"/>
  <c r="H2" i="3"/>
  <c r="H7" i="3"/>
  <c r="I2" i="3" l="1"/>
  <c r="I7" i="3"/>
  <c r="I12" i="3"/>
  <c r="B10" i="4"/>
  <c r="G27" i="5"/>
  <c r="G27" i="3"/>
  <c r="C5" i="4"/>
  <c r="D4" i="4"/>
  <c r="H5" i="3"/>
  <c r="D5" i="4"/>
  <c r="N6" i="4" l="1"/>
  <c r="N7" i="4"/>
  <c r="N5" i="4"/>
  <c r="N4" i="4"/>
  <c r="H9" i="4"/>
  <c r="O7" i="4"/>
  <c r="O4" i="4"/>
  <c r="O5" i="4"/>
  <c r="Q7" i="4"/>
  <c r="Q4" i="4"/>
  <c r="O6" i="4"/>
  <c r="I9" i="4"/>
  <c r="Q5" i="4"/>
  <c r="I5" i="3"/>
  <c r="H27" i="5"/>
  <c r="I27" i="5"/>
  <c r="C4" i="4"/>
  <c r="C3" i="4"/>
  <c r="H27" i="3"/>
  <c r="S5" i="4" l="1"/>
  <c r="S6" i="4"/>
  <c r="S4" i="4"/>
  <c r="P7" i="4"/>
  <c r="S7" i="4"/>
  <c r="N9" i="4"/>
  <c r="P5" i="4"/>
  <c r="P6" i="4"/>
  <c r="P4" i="4"/>
  <c r="Q6" i="4"/>
  <c r="U5" i="4" s="1"/>
  <c r="J9" i="4"/>
  <c r="O9" i="4"/>
  <c r="R5" i="4"/>
  <c r="V5" i="4" s="1"/>
  <c r="T5" i="4"/>
  <c r="R4" i="4"/>
  <c r="V4" i="4" s="1"/>
  <c r="R7" i="4"/>
  <c r="V7" i="4" s="1"/>
  <c r="T7" i="4"/>
  <c r="I27" i="3"/>
  <c r="C10" i="4"/>
  <c r="D3" i="4"/>
  <c r="D10" i="4" s="1"/>
  <c r="U7" i="4" l="1"/>
  <c r="Q9" i="4"/>
  <c r="U4" i="4"/>
  <c r="T4" i="4"/>
  <c r="R6" i="4"/>
  <c r="V6" i="4" s="1"/>
  <c r="T6" i="4"/>
  <c r="U6" i="4"/>
  <c r="T9" i="4" l="1"/>
  <c r="S9" i="4"/>
</calcChain>
</file>

<file path=xl/sharedStrings.xml><?xml version="1.0" encoding="utf-8"?>
<sst xmlns="http://schemas.openxmlformats.org/spreadsheetml/2006/main" count="92" uniqueCount="39">
  <si>
    <t>合　計</t>
    <rPh sb="0" eb="1">
      <t>ア</t>
    </rPh>
    <rPh sb="2" eb="3">
      <t>ケイ</t>
    </rPh>
    <phoneticPr fontId="5"/>
  </si>
  <si>
    <t>合　計</t>
    <phoneticPr fontId="2"/>
  </si>
  <si>
    <t>達成率</t>
    <rPh sb="0" eb="3">
      <t>タッセイリツ</t>
    </rPh>
    <phoneticPr fontId="2"/>
  </si>
  <si>
    <t>＜商品テーブル＞</t>
    <rPh sb="1" eb="3">
      <t>ショウヒン</t>
    </rPh>
    <phoneticPr fontId="2"/>
  </si>
  <si>
    <t>商ＣＯ</t>
    <rPh sb="0" eb="1">
      <t>ショウ</t>
    </rPh>
    <phoneticPr fontId="2"/>
  </si>
  <si>
    <t>商品名</t>
    <rPh sb="0" eb="3">
      <t>ショウヒンメイ</t>
    </rPh>
    <phoneticPr fontId="2"/>
  </si>
  <si>
    <t>原価</t>
    <rPh sb="0" eb="2">
      <t>ゲンカ</t>
    </rPh>
    <phoneticPr fontId="2"/>
  </si>
  <si>
    <t>商品Ｅ</t>
    <rPh sb="0" eb="2">
      <t>ショウヒン</t>
    </rPh>
    <phoneticPr fontId="2"/>
  </si>
  <si>
    <t>商品Ｄ</t>
    <rPh sb="0" eb="2">
      <t>ショウヒン</t>
    </rPh>
    <phoneticPr fontId="2"/>
  </si>
  <si>
    <t>＜販売先テーブル＞</t>
    <rPh sb="1" eb="3">
      <t>ハンバイ</t>
    </rPh>
    <phoneticPr fontId="2"/>
  </si>
  <si>
    <t>販ＣＯ</t>
    <rPh sb="0" eb="1">
      <t>ハン</t>
    </rPh>
    <phoneticPr fontId="2"/>
  </si>
  <si>
    <t>販売先名</t>
    <rPh sb="0" eb="2">
      <t>ハンバイ</t>
    </rPh>
    <rPh sb="2" eb="3">
      <t>サキ</t>
    </rPh>
    <rPh sb="3" eb="4">
      <t>メイ</t>
    </rPh>
    <phoneticPr fontId="2"/>
  </si>
  <si>
    <t>商品Ｆ</t>
    <rPh sb="0" eb="2">
      <t>ショウヒン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</si>
  <si>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</si>
  <si>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</si>
  <si>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値引額</t>
    <rPh sb="0" eb="2">
      <t>ネビキ</t>
    </rPh>
    <rPh sb="2" eb="3">
      <t>ガク</t>
    </rPh>
    <phoneticPr fontId="2"/>
  </si>
  <si>
    <t>定価</t>
    <rPh sb="0" eb="2">
      <t>テイカ</t>
    </rPh>
    <phoneticPr fontId="2"/>
  </si>
  <si>
    <t>判定</t>
    <rPh sb="0" eb="2">
      <t>ハンテイ</t>
    </rPh>
    <phoneticPr fontId="2"/>
  </si>
  <si>
    <t>＜利益率表＞</t>
    <rPh sb="1" eb="3">
      <t>リエキ</t>
    </rPh>
    <rPh sb="3" eb="4">
      <t>リツ</t>
    </rPh>
    <rPh sb="4" eb="5">
      <t>ヒョウ</t>
    </rPh>
    <phoneticPr fontId="2"/>
  </si>
  <si>
    <t>利益率</t>
    <rPh sb="0" eb="2">
      <t>リエキ</t>
    </rPh>
    <rPh sb="2" eb="3">
      <t>リツ</t>
    </rPh>
    <phoneticPr fontId="2"/>
  </si>
  <si>
    <t>利益額</t>
    <rPh sb="0" eb="2">
      <t>リエキ</t>
    </rPh>
    <rPh sb="2" eb="3">
      <t>ガク</t>
    </rPh>
    <phoneticPr fontId="2"/>
  </si>
  <si>
    <t>商品別集計表</t>
    <rPh sb="0" eb="2">
      <t>ショウヒン</t>
    </rPh>
    <rPh sb="2" eb="3">
      <t>ベツ</t>
    </rPh>
    <rPh sb="3" eb="5">
      <t>シュウケイ</t>
    </rPh>
    <rPh sb="5" eb="6">
      <t>オモテ</t>
    </rPh>
    <phoneticPr fontId="2"/>
  </si>
  <si>
    <t>平均売価</t>
    <rPh sb="0" eb="2">
      <t>ヘイキン</t>
    </rPh>
    <rPh sb="2" eb="4">
      <t>バイカ</t>
    </rPh>
    <phoneticPr fontId="2"/>
  </si>
  <si>
    <t>請求額</t>
    <rPh sb="0" eb="2">
      <t>セイキュウ</t>
    </rPh>
    <rPh sb="2" eb="3">
      <t>ガク</t>
    </rPh>
    <phoneticPr fontId="2"/>
  </si>
  <si>
    <t>利益目標</t>
    <rPh sb="0" eb="2">
      <t>リエキ</t>
    </rPh>
    <rPh sb="2" eb="4">
      <t>モクヒョウ</t>
    </rPh>
    <phoneticPr fontId="2"/>
  </si>
  <si>
    <t>割引額</t>
    <rPh sb="0" eb="2">
      <t>ワリビキ</t>
    </rPh>
    <rPh sb="2" eb="3">
      <t>ガク</t>
    </rPh>
    <phoneticPr fontId="2"/>
  </si>
  <si>
    <t>割引率</t>
    <rPh sb="0" eb="2">
      <t>ワリビキ</t>
    </rPh>
    <rPh sb="2" eb="3">
      <t>リツ</t>
    </rPh>
    <phoneticPr fontId="2"/>
  </si>
  <si>
    <t>新割引率</t>
    <rPh sb="0" eb="1">
      <t>シン</t>
    </rPh>
    <rPh sb="1" eb="3">
      <t>ワリビキ</t>
    </rPh>
    <rPh sb="3" eb="4">
      <t>リツ</t>
    </rPh>
    <phoneticPr fontId="2"/>
  </si>
  <si>
    <t>商品Ｇ</t>
    <rPh sb="0" eb="2">
      <t>ショウヒン</t>
    </rPh>
    <phoneticPr fontId="2"/>
  </si>
  <si>
    <t>商品Ｈ</t>
    <rPh sb="0" eb="2">
      <t>ショウヒン</t>
    </rPh>
    <phoneticPr fontId="2"/>
  </si>
  <si>
    <t>商品Ⅰ</t>
    <rPh sb="0" eb="2">
      <t>ショウヒン</t>
    </rPh>
    <phoneticPr fontId="2"/>
  </si>
  <si>
    <t>洋服の鈴木</t>
    <rPh sb="0" eb="2">
      <t>ヨウフク</t>
    </rPh>
    <rPh sb="3" eb="5">
      <t>スズキ</t>
    </rPh>
    <phoneticPr fontId="2"/>
  </si>
  <si>
    <t>秋山衣料店</t>
    <rPh sb="0" eb="2">
      <t>アキヤマ</t>
    </rPh>
    <rPh sb="2" eb="4">
      <t>イリョウ</t>
    </rPh>
    <rPh sb="4" eb="5">
      <t>テン</t>
    </rPh>
    <phoneticPr fontId="2"/>
  </si>
  <si>
    <t>サンヨウ堂</t>
    <rPh sb="4" eb="5">
      <t>ドウ</t>
    </rPh>
    <phoneticPr fontId="2"/>
  </si>
  <si>
    <t>ＡＳＡＤＡ</t>
    <phoneticPr fontId="2"/>
  </si>
  <si>
    <t>前期</t>
    <rPh sb="0" eb="2">
      <t>ゼンキ</t>
    </rPh>
    <phoneticPr fontId="2"/>
  </si>
  <si>
    <t>後期</t>
    <rPh sb="0" eb="2">
      <t>コウキ</t>
    </rPh>
    <phoneticPr fontId="2"/>
  </si>
  <si>
    <t>年間</t>
    <rPh sb="0" eb="2">
      <t>ネンカン</t>
    </rPh>
    <phoneticPr fontId="2"/>
  </si>
  <si>
    <t>販　売　先　別　請　求　額　計　算　表</t>
    <rPh sb="0" eb="1">
      <t>ハン</t>
    </rPh>
    <rPh sb="2" eb="3">
      <t>バイ</t>
    </rPh>
    <rPh sb="4" eb="5">
      <t>サキ</t>
    </rPh>
    <rPh sb="6" eb="7">
      <t>ベツ</t>
    </rPh>
    <rPh sb="8" eb="9">
      <t>ショウ</t>
    </rPh>
    <rPh sb="10" eb="11">
      <t>モトム</t>
    </rPh>
    <rPh sb="12" eb="13">
      <t>ガク</t>
    </rPh>
    <rPh sb="14" eb="15">
      <t>ケイ</t>
    </rPh>
    <rPh sb="16" eb="17">
      <t>サン</t>
    </rPh>
    <rPh sb="18" eb="19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</si>
</sst>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4" xfId="2" applyFont="1" applyBorder="1">
      <alignment vertical="center"/>
    </xf>
    <xf numFmtId="38" fontId="4" fillId="0" borderId="2" xfId="2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38" fontId="4" fillId="0" borderId="6" xfId="0" applyNumberFormat="1" applyFont="1" applyBorder="1">
      <alignment vertical="center"/>
    </xf>
    <xf numFmtId="0" fontId="4" fillId="0" borderId="8" xfId="0" applyFont="1" applyBorder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2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38" fontId="4" fillId="0" borderId="0" xfId="0" applyNumberFormat="1" applyFont="1">
      <alignment vertical="center"/>
    </xf>
    <xf numFmtId="0" fontId="0" fillId="0" borderId="3" xfId="0" applyFont="1" applyBorder="1">
      <alignment vertical="center"/>
    </xf>
    <xf numFmtId="0" fontId="0" fillId="0" borderId="8" xfId="0" applyFont="1" applyBorder="1">
      <alignment vertical="center"/>
    </xf>
    <xf numFmtId="0" fontId="7" fillId="0" borderId="0" xfId="0" applyFont="1">
      <alignment vertical="center"/>
    </xf>
    <xf numFmtId="0" fontId="6" fillId="0" borderId="10" xfId="0" applyFont="1" applyBorder="1" applyAlignment="1">
      <alignment horizontal="center" vertical="center"/>
    </xf>
    <xf numFmtId="176" fontId="4" fillId="0" borderId="2" xfId="1" applyNumberFormat="1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176" fontId="6" fillId="0" borderId="4" xfId="1" applyNumberFormat="1" applyFont="1" applyBorder="1">
      <alignment vertical="center"/>
    </xf>
    <xf numFmtId="9" fontId="4" fillId="0" borderId="2" xfId="0" applyNumberFormat="1" applyFont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>
      <alignment vertical="center"/>
    </xf>
    <xf numFmtId="38" fontId="4" fillId="0" borderId="0" xfId="2" applyFont="1" applyBorder="1">
      <alignment vertical="center"/>
    </xf>
    <xf numFmtId="38" fontId="4" fillId="0" borderId="2" xfId="2" applyFont="1" applyBorder="1" applyAlignment="1">
      <alignment horizontal="center" vertical="center"/>
    </xf>
    <xf numFmtId="3" fontId="6" fillId="0" borderId="2" xfId="0" applyNumberFormat="1" applyFont="1" applyBorder="1">
      <alignment vertical="center"/>
    </xf>
    <xf numFmtId="0" fontId="8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38" fontId="4" fillId="0" borderId="7" xfId="0" applyNumberFormat="1" applyFont="1" applyBorder="1">
      <alignment vertical="center"/>
    </xf>
    <xf numFmtId="0" fontId="1" fillId="0" borderId="8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4" fillId="0" borderId="3" xfId="0" applyFont="1" applyFill="1" applyBorder="1">
      <alignment vertical="center"/>
    </xf>
    <xf numFmtId="0" fontId="0" fillId="0" borderId="2" xfId="0" applyFont="1" applyFill="1" applyBorder="1" applyAlignment="1">
      <alignment vertical="center"/>
    </xf>
    <xf numFmtId="0" fontId="4" fillId="0" borderId="2" xfId="0" applyFont="1" applyFill="1" applyBorder="1">
      <alignment vertical="center"/>
    </xf>
    <xf numFmtId="38" fontId="6" fillId="0" borderId="2" xfId="0" applyNumberFormat="1" applyFont="1" applyFill="1" applyBorder="1" applyAlignment="1">
      <alignment horizontal="right" vertical="center"/>
    </xf>
    <xf numFmtId="38" fontId="6" fillId="0" borderId="2" xfId="2" applyNumberFormat="1" applyFont="1" applyFill="1" applyBorder="1">
      <alignment vertical="center"/>
    </xf>
    <xf numFmtId="38" fontId="4" fillId="0" borderId="2" xfId="2" applyFont="1" applyFill="1" applyBorder="1">
      <alignment vertical="center"/>
    </xf>
    <xf numFmtId="38" fontId="4" fillId="0" borderId="4" xfId="2" applyNumberFormat="1" applyFont="1" applyFill="1" applyBorder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4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0" fillId="0" borderId="6" xfId="0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38" fontId="4" fillId="0" borderId="6" xfId="2" applyFont="1" applyFill="1" applyBorder="1">
      <alignment vertical="center"/>
    </xf>
    <xf numFmtId="38" fontId="4" fillId="0" borderId="7" xfId="2" applyFont="1" applyFill="1" applyBorder="1">
      <alignment vertical="center"/>
    </xf>
    <xf numFmtId="38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28-4F28-930B-C189F6F40BA0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28-4F28-930B-C189F6F40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04064"/>
        <c:axId val="63305600"/>
      </c:barChart>
      <c:catAx>
        <c:axId val="6330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5600"/>
        <c:crosses val="autoZero"/>
        <c:auto val="1"/>
        <c:lblAlgn val="ctr"/>
        <c:lblOffset val="100"/>
        <c:noMultiLvlLbl val="0"/>
      </c:catAx>
      <c:valAx>
        <c:axId val="63305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406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2687224669603523"/>
          <c:y val="0"/>
          <c:w val="0.23348017621145375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C65-4BD2-BBC6-C3275AE4DBAF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C65-4BD2-BBC6-C3275AE4D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27232"/>
        <c:axId val="63361792"/>
      </c:barChart>
      <c:catAx>
        <c:axId val="6332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61792"/>
        <c:crosses val="autoZero"/>
        <c:auto val="1"/>
        <c:lblAlgn val="ctr"/>
        <c:lblOffset val="100"/>
        <c:noMultiLvlLbl val="0"/>
      </c:catAx>
      <c:valAx>
        <c:axId val="63361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2723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ADF-4458-BB3D-78A32BFC771D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ADF-4458-BB3D-78A32BFC7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008128"/>
        <c:axId val="103009664"/>
      </c:barChart>
      <c:catAx>
        <c:axId val="10300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9664"/>
        <c:crosses val="autoZero"/>
        <c:auto val="1"/>
        <c:lblAlgn val="ctr"/>
        <c:lblOffset val="100"/>
        <c:noMultiLvlLbl val="0"/>
      </c:catAx>
      <c:valAx>
        <c:axId val="103009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81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62-4BC1-97D4-3115EFE9A90E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62-4BC1-97D4-3115EFE9A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269120"/>
        <c:axId val="103270656"/>
      </c:barChart>
      <c:catAx>
        <c:axId val="10326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70656"/>
        <c:crosses val="autoZero"/>
        <c:auto val="1"/>
        <c:lblAlgn val="ctr"/>
        <c:lblOffset val="100"/>
        <c:noMultiLvlLbl val="0"/>
      </c:catAx>
      <c:valAx>
        <c:axId val="103270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691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9264214046822745"/>
          <c:y val="0"/>
          <c:w val="0.17725752508361203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販売先別の集計グラフ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計算表!$T$3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計算表!$G$4:$G$7</c:f>
              <c:strCache>
                <c:ptCount val="4"/>
                <c:pt idx="0">
                  <c:v>ＡＳＡＤＡ</c:v>
                </c:pt>
                <c:pt idx="1">
                  <c:v>秋山衣料店</c:v>
                </c:pt>
                <c:pt idx="2">
                  <c:v>サンヨウ堂</c:v>
                </c:pt>
                <c:pt idx="3">
                  <c:v>洋服の鈴木</c:v>
                </c:pt>
              </c:strCache>
            </c:strRef>
          </c:cat>
          <c:val>
            <c:numRef>
              <c:f>計算表!$T$4:$T$7</c:f>
              <c:numCache>
                <c:formatCode>#,##0_);[Red]\(#,##0\)</c:formatCode>
                <c:ptCount val="4"/>
                <c:pt idx="0">
                  <c:v>3711030</c:v>
                </c:pt>
                <c:pt idx="1">
                  <c:v>4047650</c:v>
                </c:pt>
                <c:pt idx="2">
                  <c:v>4103570</c:v>
                </c:pt>
                <c:pt idx="3">
                  <c:v>4327870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計算表!$N$3</c:f>
              <c:strCache>
                <c:ptCount val="1"/>
                <c:pt idx="0">
                  <c:v>販売数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計算表!$G$4:$G$7</c:f>
              <c:strCache>
                <c:ptCount val="4"/>
                <c:pt idx="0">
                  <c:v>ＡＳＡＤＡ</c:v>
                </c:pt>
                <c:pt idx="1">
                  <c:v>秋山衣料店</c:v>
                </c:pt>
                <c:pt idx="2">
                  <c:v>サンヨウ堂</c:v>
                </c:pt>
                <c:pt idx="3">
                  <c:v>洋服の鈴木</c:v>
                </c:pt>
              </c:strCache>
            </c:strRef>
          </c:cat>
          <c:val>
            <c:numRef>
              <c:f>計算表!$N$4:$N$7</c:f>
              <c:numCache>
                <c:formatCode>#,##0_);[Red]\(#,##0\)</c:formatCode>
                <c:ptCount val="4"/>
                <c:pt idx="0">
                  <c:v>1545</c:v>
                </c:pt>
                <c:pt idx="1">
                  <c:v>1715</c:v>
                </c:pt>
                <c:pt idx="2">
                  <c:v>1773</c:v>
                </c:pt>
                <c:pt idx="3">
                  <c:v>1811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>
      <c:oddHeader>&amp;A</c:oddHeader>
      <c:oddFooter>Page &amp;P</c:oddFooter>
    </c:headerFooter>
    <c:pageMargins b="0.75" l="0.7" r="0.7" t="0.75" header="0.3" footer="0.3"/>
    <c:pageSetup paperSize="13" orientation="portrait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2049" name="グラフ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4097" name="グラフ 1">
          <a:extLst>
            <a:ext uri="{FF2B5EF4-FFF2-40B4-BE49-F238E27FC236}">
              <a16:creationId xmlns:a16="http://schemas.microsoft.com/office/drawing/2014/main" id="{00000000-0008-0000-01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6145" name="グラフ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41742</xdr:colOff>
      <xdr:row>15</xdr:row>
      <xdr:rowOff>45945</xdr:rowOff>
    </xdr:from>
    <xdr:to>
      <xdr:col>14</xdr:col>
      <xdr:colOff>481292</xdr:colOff>
      <xdr:row>34</xdr:row>
      <xdr:rowOff>22973</xdr:rowOff>
    </xdr:to>
    <xdr:graphicFrame macro="">
      <xdr:nvGraphicFramePr>
        <xdr:cNvPr id="1027" name="Chart 3">
          <a:extLs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"/>
  <sheetViews>
    <sheetView tabSelected="1" zoomScaleNormal="100" workbookViewId="0"/>
  </sheetViews>
  <sheetFormatPr defaultRowHeight="13.5"/>
  <cols>
    <col min="1" max="1" width="7.5" style="1" customWidth="1"/>
    <col min="2" max="2" width="7.5" style="1" bestFit="1" customWidth="1"/>
    <col min="3" max="3" width="6.5" style="1" bestFit="1" customWidth="1"/>
    <col min="4" max="4" width="4.875" style="1" customWidth="1"/>
    <col min="5" max="5" width="7.5" style="1" customWidth="1"/>
    <col min="6" max="6" width="11.625" style="1" bestFit="1" customWidth="1"/>
    <col min="7" max="7" width="7.5" style="1" bestFit="1" customWidth="1"/>
    <col min="8" max="8" width="9.5" style="1" bestFit="1" customWidth="1"/>
    <col min="9" max="9" width="4.875" style="1" customWidth="1"/>
    <col min="10" max="11" width="7.5" style="1" bestFit="1" customWidth="1"/>
    <col min="12" max="16384" width="9" style="1"/>
  </cols>
  <sheetData>
    <row r="1" spans="1:11">
      <c r="A1" s="17" t="s">
        <v>3</v>
      </c>
      <c r="B1" s="15"/>
      <c r="C1" s="15"/>
      <c r="E1" s="17" t="s">
        <v>9</v>
      </c>
      <c r="J1" s="17" t="s">
        <v>18</v>
      </c>
    </row>
    <row r="2" spans="1:11">
      <c r="A2" s="16" t="s">
        <v>4</v>
      </c>
      <c r="B2" s="16" t="s">
        <v>5</v>
      </c>
      <c r="C2" s="16" t="s">
        <v>6</v>
      </c>
      <c r="E2" s="16" t="s">
        <v>10</v>
      </c>
      <c r="F2" s="16" t="s">
        <v>11</v>
      </c>
      <c r="G2" s="31" t="s">
        <v>26</v>
      </c>
      <c r="H2" s="31" t="s">
        <v>24</v>
      </c>
      <c r="J2" s="2" t="s">
        <v>13</v>
      </c>
      <c r="K2" s="16" t="s">
        <v>19</v>
      </c>
    </row>
    <row r="3" spans="1:11">
      <c r="A3" s="4">
        <v>11</v>
      </c>
      <c r="B3" s="18" t="s">
        <v>8</v>
      </c>
      <c r="C3" s="6">
        <v>1761</v>
      </c>
      <c r="E3" s="4">
        <v>101</v>
      </c>
      <c r="F3" s="40" t="s">
        <v>32</v>
      </c>
      <c r="G3" s="32">
        <v>3.6999999999999998E-2</v>
      </c>
      <c r="H3" s="35">
        <v>604800</v>
      </c>
      <c r="J3" s="4">
        <v>1</v>
      </c>
      <c r="K3" s="29">
        <v>0.31</v>
      </c>
    </row>
    <row r="4" spans="1:11">
      <c r="A4" s="4">
        <v>12</v>
      </c>
      <c r="B4" s="18" t="s">
        <v>7</v>
      </c>
      <c r="C4" s="6">
        <v>2479</v>
      </c>
      <c r="E4" s="4">
        <v>102</v>
      </c>
      <c r="F4" s="40" t="s">
        <v>34</v>
      </c>
      <c r="G4" s="32">
        <v>3.4000000000000002E-2</v>
      </c>
      <c r="H4" s="35">
        <v>632400</v>
      </c>
      <c r="J4" s="4">
        <v>100</v>
      </c>
      <c r="K4" s="29">
        <v>0.28999999999999998</v>
      </c>
    </row>
    <row r="5" spans="1:11">
      <c r="A5" s="4">
        <v>13</v>
      </c>
      <c r="B5" s="18" t="s">
        <v>12</v>
      </c>
      <c r="C5" s="6">
        <v>1953</v>
      </c>
      <c r="E5" s="4">
        <v>103</v>
      </c>
      <c r="F5" s="40" t="s">
        <v>31</v>
      </c>
      <c r="G5" s="32">
        <v>3.2000000000000001E-2</v>
      </c>
      <c r="H5" s="35">
        <v>685300</v>
      </c>
      <c r="J5" s="4">
        <v>175</v>
      </c>
      <c r="K5" s="29">
        <v>0.27</v>
      </c>
    </row>
    <row r="6" spans="1:11">
      <c r="A6" s="4">
        <v>14</v>
      </c>
      <c r="B6" s="18" t="s">
        <v>28</v>
      </c>
      <c r="C6" s="6">
        <v>2308</v>
      </c>
      <c r="E6" s="4">
        <v>104</v>
      </c>
      <c r="F6" s="40" t="s">
        <v>33</v>
      </c>
      <c r="G6" s="32">
        <v>3.9E-2</v>
      </c>
      <c r="H6" s="35">
        <v>729500</v>
      </c>
    </row>
    <row r="7" spans="1:11">
      <c r="A7" s="4">
        <v>15</v>
      </c>
      <c r="B7" s="18" t="s">
        <v>29</v>
      </c>
      <c r="C7" s="6">
        <v>1864</v>
      </c>
    </row>
    <row r="8" spans="1:11">
      <c r="A8" s="4">
        <v>16</v>
      </c>
      <c r="B8" s="18" t="s">
        <v>30</v>
      </c>
      <c r="C8" s="6">
        <v>2105</v>
      </c>
    </row>
    <row r="9" spans="1:11">
      <c r="G9" s="36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9"/>
  <sheetViews>
    <sheetView zoomScaleNormal="100" workbookViewId="0"/>
  </sheetViews>
  <sheetFormatPr defaultRowHeight="13.5"/>
  <cols>
    <col min="1" max="3" width="7.5" style="1" bestFit="1" customWidth="1"/>
    <col min="4" max="4" width="11.625" style="1" bestFit="1" customWidth="1"/>
    <col min="5" max="5" width="7.5" style="1" customWidth="1"/>
    <col min="6" max="6" width="6.5" style="1" bestFit="1" customWidth="1"/>
    <col min="7" max="7" width="8.5" style="1" bestFit="1" customWidth="1"/>
    <col min="8" max="9" width="10.5" style="1" bestFit="1" customWidth="1"/>
    <col min="10" max="10" width="5.75" style="1" customWidth="1"/>
    <col min="11" max="16384" width="9" style="1"/>
  </cols>
  <sheetData>
    <row r="1" spans="1:10">
      <c r="A1" s="54" t="s">
        <v>4</v>
      </c>
      <c r="B1" s="55" t="s">
        <v>5</v>
      </c>
      <c r="C1" s="55" t="s">
        <v>10</v>
      </c>
      <c r="D1" s="55" t="s">
        <v>11</v>
      </c>
      <c r="E1" s="55" t="s">
        <v>13</v>
      </c>
      <c r="F1" s="55" t="s">
        <v>16</v>
      </c>
      <c r="G1" s="55" t="s">
        <v>15</v>
      </c>
      <c r="H1" s="55" t="s">
        <v>14</v>
      </c>
      <c r="I1" s="56" t="s">
        <v>20</v>
      </c>
      <c r="J1" s="30"/>
    </row>
    <row r="2" spans="1:10">
      <c r="A2" s="57">
        <v>11</v>
      </c>
      <c r="B2" s="58" t="str">
        <f>VLOOKUP(A2,テーブル!$A$3:$C$8,2,0)</f>
        <v>商品Ｄ</v>
      </c>
      <c r="C2" s="59">
        <v>101</v>
      </c>
      <c r="D2" s="59" t="str">
        <f>VLOOKUP(C2,テーブル!$E$3:$H$6,2,0)</f>
        <v>秋山衣料店</v>
      </c>
      <c r="E2" s="60">
        <v>137</v>
      </c>
      <c r="F2" s="60">
        <f>ROUNDUP(VLOOKUP(A2,テーブル!$A$3:$C$8,3,0)*(1+VLOOKUP(E2,テーブル!$J$3:$K$5,2,1)),-1)</f>
        <v>2280</v>
      </c>
      <c r="G2" s="61">
        <f t="shared" ref="G2:G25" si="0">ROUNDDOWN(IF(OR(E2&gt;=200,F2&gt;=3200),F2*E2*8.6%,F2*E2*7.4%),-1)</f>
        <v>23110</v>
      </c>
      <c r="H2" s="62">
        <f t="shared" ref="H2:H25" si="1">F2*E2-G2</f>
        <v>289250</v>
      </c>
      <c r="I2" s="63">
        <f>H2-VLOOKUP(A2,テーブル!$A$3:$C$8,3,0)*E2</f>
        <v>47993</v>
      </c>
    </row>
    <row r="3" spans="1:10">
      <c r="A3" s="57">
        <v>11</v>
      </c>
      <c r="B3" s="58" t="str">
        <f>VLOOKUP(A3,テーブル!$A$3:$C$8,2,0)</f>
        <v>商品Ｄ</v>
      </c>
      <c r="C3" s="59">
        <v>102</v>
      </c>
      <c r="D3" s="59" t="str">
        <f>VLOOKUP(C3,テーブル!$E$3:$H$6,2,0)</f>
        <v>ＡＳＡＤＡ</v>
      </c>
      <c r="E3" s="60">
        <v>95</v>
      </c>
      <c r="F3" s="60">
        <f>ROUNDUP(VLOOKUP(A3,テーブル!$A$3:$C$8,3,0)*(1+VLOOKUP(E3,テーブル!$J$3:$K$5,2,1)),-1)</f>
        <v>2310</v>
      </c>
      <c r="G3" s="61">
        <f t="shared" si="0"/>
        <v>16230</v>
      </c>
      <c r="H3" s="62">
        <f t="shared" si="1"/>
        <v>203220</v>
      </c>
      <c r="I3" s="63">
        <f>H3-VLOOKUP(A3,テーブル!$A$3:$C$8,3,0)*E3</f>
        <v>35925</v>
      </c>
    </row>
    <row r="4" spans="1:10">
      <c r="A4" s="57">
        <v>11</v>
      </c>
      <c r="B4" s="58" t="str">
        <f>VLOOKUP(A4,テーブル!$A$3:$C$8,2,0)</f>
        <v>商品Ｄ</v>
      </c>
      <c r="C4" s="59">
        <v>103</v>
      </c>
      <c r="D4" s="59" t="str">
        <f>VLOOKUP(C4,テーブル!$E$3:$H$6,2,0)</f>
        <v>洋服の鈴木</v>
      </c>
      <c r="E4" s="60">
        <v>186</v>
      </c>
      <c r="F4" s="60">
        <f>ROUNDUP(VLOOKUP(A4,テーブル!$A$3:$C$8,3,0)*(1+VLOOKUP(E4,テーブル!$J$3:$K$5,2,1)),-1)</f>
        <v>2240</v>
      </c>
      <c r="G4" s="61">
        <f t="shared" si="0"/>
        <v>30830</v>
      </c>
      <c r="H4" s="62">
        <f t="shared" si="1"/>
        <v>385810</v>
      </c>
      <c r="I4" s="63">
        <f>H4-VLOOKUP(A4,テーブル!$A$3:$C$8,3,0)*E4</f>
        <v>58264</v>
      </c>
    </row>
    <row r="5" spans="1:10">
      <c r="A5" s="57">
        <v>11</v>
      </c>
      <c r="B5" s="58" t="str">
        <f>VLOOKUP(A5,テーブル!$A$3:$C$8,2,0)</f>
        <v>商品Ｄ</v>
      </c>
      <c r="C5" s="59">
        <v>104</v>
      </c>
      <c r="D5" s="59" t="str">
        <f>VLOOKUP(C5,テーブル!$E$3:$H$6,2,0)</f>
        <v>サンヨウ堂</v>
      </c>
      <c r="E5" s="60">
        <v>162</v>
      </c>
      <c r="F5" s="60">
        <f>ROUNDUP(VLOOKUP(A5,テーブル!$A$3:$C$8,3,0)*(1+VLOOKUP(E5,テーブル!$J$3:$K$5,2,1)),-1)</f>
        <v>2280</v>
      </c>
      <c r="G5" s="61">
        <f t="shared" si="0"/>
        <v>27330</v>
      </c>
      <c r="H5" s="62">
        <f t="shared" si="1"/>
        <v>342030</v>
      </c>
      <c r="I5" s="63">
        <f>H5-VLOOKUP(A5,テーブル!$A$3:$C$8,3,0)*E5</f>
        <v>56748</v>
      </c>
    </row>
    <row r="6" spans="1:10">
      <c r="A6" s="57">
        <v>12</v>
      </c>
      <c r="B6" s="58" t="str">
        <f>VLOOKUP(A6,テーブル!$A$3:$C$8,2,0)</f>
        <v>商品Ｅ</v>
      </c>
      <c r="C6" s="59">
        <v>101</v>
      </c>
      <c r="D6" s="59" t="str">
        <f>VLOOKUP(C6,テーブル!$E$3:$H$6,2,0)</f>
        <v>秋山衣料店</v>
      </c>
      <c r="E6" s="60">
        <v>84</v>
      </c>
      <c r="F6" s="60">
        <f>ROUNDUP(VLOOKUP(A6,テーブル!$A$3:$C$8,3,0)*(1+VLOOKUP(E6,テーブル!$J$3:$K$5,2,1)),-1)</f>
        <v>3250</v>
      </c>
      <c r="G6" s="61">
        <f t="shared" si="0"/>
        <v>23470</v>
      </c>
      <c r="H6" s="62">
        <f t="shared" si="1"/>
        <v>249530</v>
      </c>
      <c r="I6" s="63">
        <f>H6-VLOOKUP(A6,テーブル!$A$3:$C$8,3,0)*E6</f>
        <v>41294</v>
      </c>
    </row>
    <row r="7" spans="1:10">
      <c r="A7" s="57">
        <v>12</v>
      </c>
      <c r="B7" s="58" t="str">
        <f>VLOOKUP(A7,テーブル!$A$3:$C$8,2,0)</f>
        <v>商品Ｅ</v>
      </c>
      <c r="C7" s="59">
        <v>102</v>
      </c>
      <c r="D7" s="59" t="str">
        <f>VLOOKUP(C7,テーブル!$E$3:$H$6,2,0)</f>
        <v>ＡＳＡＤＡ</v>
      </c>
      <c r="E7" s="60">
        <v>138</v>
      </c>
      <c r="F7" s="60">
        <f>ROUNDUP(VLOOKUP(A7,テーブル!$A$3:$C$8,3,0)*(1+VLOOKUP(E7,テーブル!$J$3:$K$5,2,1)),-1)</f>
        <v>3200</v>
      </c>
      <c r="G7" s="61">
        <f t="shared" si="0"/>
        <v>37970</v>
      </c>
      <c r="H7" s="62">
        <f t="shared" si="1"/>
        <v>403630</v>
      </c>
      <c r="I7" s="63">
        <f>H7-VLOOKUP(A7,テーブル!$A$3:$C$8,3,0)*E7</f>
        <v>61528</v>
      </c>
    </row>
    <row r="8" spans="1:10">
      <c r="A8" s="57">
        <v>12</v>
      </c>
      <c r="B8" s="58" t="str">
        <f>VLOOKUP(A8,テーブル!$A$3:$C$8,2,0)</f>
        <v>商品Ｅ</v>
      </c>
      <c r="C8" s="59">
        <v>103</v>
      </c>
      <c r="D8" s="59" t="str">
        <f>VLOOKUP(C8,テーブル!$E$3:$H$6,2,0)</f>
        <v>洋服の鈴木</v>
      </c>
      <c r="E8" s="60">
        <v>203</v>
      </c>
      <c r="F8" s="60">
        <f>ROUNDUP(VLOOKUP(A8,テーブル!$A$3:$C$8,3,0)*(1+VLOOKUP(E8,テーブル!$J$3:$K$5,2,1)),-1)</f>
        <v>3150</v>
      </c>
      <c r="G8" s="61">
        <f t="shared" si="0"/>
        <v>54990</v>
      </c>
      <c r="H8" s="62">
        <f t="shared" si="1"/>
        <v>584460</v>
      </c>
      <c r="I8" s="63">
        <f>H8-VLOOKUP(A8,テーブル!$A$3:$C$8,3,0)*E8</f>
        <v>81223</v>
      </c>
    </row>
    <row r="9" spans="1:10">
      <c r="A9" s="57">
        <v>12</v>
      </c>
      <c r="B9" s="58" t="str">
        <f>VLOOKUP(A9,テーブル!$A$3:$C$8,2,0)</f>
        <v>商品Ｅ</v>
      </c>
      <c r="C9" s="59">
        <v>104</v>
      </c>
      <c r="D9" s="59" t="str">
        <f>VLOOKUP(C9,テーブル!$E$3:$H$6,2,0)</f>
        <v>サンヨウ堂</v>
      </c>
      <c r="E9" s="60">
        <v>72</v>
      </c>
      <c r="F9" s="60">
        <f>ROUNDUP(VLOOKUP(A9,テーブル!$A$3:$C$8,3,0)*(1+VLOOKUP(E9,テーブル!$J$3:$K$5,2,1)),-1)</f>
        <v>3250</v>
      </c>
      <c r="G9" s="61">
        <f t="shared" si="0"/>
        <v>20120</v>
      </c>
      <c r="H9" s="62">
        <f t="shared" si="1"/>
        <v>213880</v>
      </c>
      <c r="I9" s="63">
        <f>H9-VLOOKUP(A9,テーブル!$A$3:$C$8,3,0)*E9</f>
        <v>35392</v>
      </c>
    </row>
    <row r="10" spans="1:10">
      <c r="A10" s="57">
        <v>13</v>
      </c>
      <c r="B10" s="58" t="str">
        <f>VLOOKUP(A10,テーブル!$A$3:$C$8,2,0)</f>
        <v>商品Ｆ</v>
      </c>
      <c r="C10" s="59">
        <v>101</v>
      </c>
      <c r="D10" s="59" t="str">
        <f>VLOOKUP(C10,テーブル!$E$3:$H$6,2,0)</f>
        <v>秋山衣料店</v>
      </c>
      <c r="E10" s="60">
        <v>214</v>
      </c>
      <c r="F10" s="60">
        <f>ROUNDUP(VLOOKUP(A10,テーブル!$A$3:$C$8,3,0)*(1+VLOOKUP(E10,テーブル!$J$3:$K$5,2,1)),-1)</f>
        <v>2490</v>
      </c>
      <c r="G10" s="61">
        <f t="shared" si="0"/>
        <v>45820</v>
      </c>
      <c r="H10" s="62">
        <f t="shared" si="1"/>
        <v>487040</v>
      </c>
      <c r="I10" s="63">
        <f>H10-VLOOKUP(A10,テーブル!$A$3:$C$8,3,0)*E10</f>
        <v>69098</v>
      </c>
    </row>
    <row r="11" spans="1:10">
      <c r="A11" s="57">
        <v>13</v>
      </c>
      <c r="B11" s="58" t="str">
        <f>VLOOKUP(A11,テーブル!$A$3:$C$8,2,0)</f>
        <v>商品Ｆ</v>
      </c>
      <c r="C11" s="59">
        <v>102</v>
      </c>
      <c r="D11" s="59" t="str">
        <f>VLOOKUP(C11,テーブル!$E$3:$H$6,2,0)</f>
        <v>ＡＳＡＤＡ</v>
      </c>
      <c r="E11" s="60">
        <v>92</v>
      </c>
      <c r="F11" s="60">
        <f>ROUNDUP(VLOOKUP(A11,テーブル!$A$3:$C$8,3,0)*(1+VLOOKUP(E11,テーブル!$J$3:$K$5,2,1)),-1)</f>
        <v>2560</v>
      </c>
      <c r="G11" s="61">
        <f t="shared" si="0"/>
        <v>17420</v>
      </c>
      <c r="H11" s="62">
        <f t="shared" si="1"/>
        <v>218100</v>
      </c>
      <c r="I11" s="63">
        <f>H11-VLOOKUP(A11,テーブル!$A$3:$C$8,3,0)*E11</f>
        <v>38424</v>
      </c>
    </row>
    <row r="12" spans="1:10">
      <c r="A12" s="57">
        <v>13</v>
      </c>
      <c r="B12" s="58" t="str">
        <f>VLOOKUP(A12,テーブル!$A$3:$C$8,2,0)</f>
        <v>商品Ｆ</v>
      </c>
      <c r="C12" s="59">
        <v>103</v>
      </c>
      <c r="D12" s="59" t="str">
        <f>VLOOKUP(C12,テーブル!$E$3:$H$6,2,0)</f>
        <v>洋服の鈴木</v>
      </c>
      <c r="E12" s="60">
        <v>145</v>
      </c>
      <c r="F12" s="60">
        <f>ROUNDUP(VLOOKUP(A12,テーブル!$A$3:$C$8,3,0)*(1+VLOOKUP(E12,テーブル!$J$3:$K$5,2,1)),-1)</f>
        <v>2520</v>
      </c>
      <c r="G12" s="61">
        <f t="shared" si="0"/>
        <v>27030</v>
      </c>
      <c r="H12" s="62">
        <f t="shared" si="1"/>
        <v>338370</v>
      </c>
      <c r="I12" s="63">
        <f>H12-VLOOKUP(A12,テーブル!$A$3:$C$8,3,0)*E12</f>
        <v>55185</v>
      </c>
    </row>
    <row r="13" spans="1:10">
      <c r="A13" s="57">
        <v>13</v>
      </c>
      <c r="B13" s="58" t="str">
        <f>VLOOKUP(A13,テーブル!$A$3:$C$8,2,0)</f>
        <v>商品Ｆ</v>
      </c>
      <c r="C13" s="59">
        <v>104</v>
      </c>
      <c r="D13" s="59" t="str">
        <f>VLOOKUP(C13,テーブル!$E$3:$H$6,2,0)</f>
        <v>サンヨウ堂</v>
      </c>
      <c r="E13" s="60">
        <v>153</v>
      </c>
      <c r="F13" s="60">
        <f>ROUNDUP(VLOOKUP(A13,テーブル!$A$3:$C$8,3,0)*(1+VLOOKUP(E13,テーブル!$J$3:$K$5,2,1)),-1)</f>
        <v>2520</v>
      </c>
      <c r="G13" s="61">
        <f t="shared" si="0"/>
        <v>28530</v>
      </c>
      <c r="H13" s="62">
        <f t="shared" si="1"/>
        <v>357030</v>
      </c>
      <c r="I13" s="63">
        <f>H13-VLOOKUP(A13,テーブル!$A$3:$C$8,3,0)*E13</f>
        <v>58221</v>
      </c>
    </row>
    <row r="14" spans="1:10">
      <c r="A14" s="57">
        <v>14</v>
      </c>
      <c r="B14" s="58" t="str">
        <f>VLOOKUP(A14,テーブル!$A$3:$C$8,2,0)</f>
        <v>商品Ｇ</v>
      </c>
      <c r="C14" s="59">
        <v>101</v>
      </c>
      <c r="D14" s="59" t="str">
        <f>VLOOKUP(C14,テーブル!$E$3:$H$6,2,0)</f>
        <v>秋山衣料店</v>
      </c>
      <c r="E14" s="60">
        <v>119</v>
      </c>
      <c r="F14" s="60">
        <f>ROUNDUP(VLOOKUP(A14,テーブル!$A$3:$C$8,3,0)*(1+VLOOKUP(E14,テーブル!$J$3:$K$5,2,1)),-1)</f>
        <v>2980</v>
      </c>
      <c r="G14" s="61">
        <f t="shared" si="0"/>
        <v>26240</v>
      </c>
      <c r="H14" s="62">
        <f t="shared" si="1"/>
        <v>328380</v>
      </c>
      <c r="I14" s="63">
        <f>H14-VLOOKUP(A14,テーブル!$A$3:$C$8,3,0)*E14</f>
        <v>53728</v>
      </c>
    </row>
    <row r="15" spans="1:10">
      <c r="A15" s="57">
        <v>14</v>
      </c>
      <c r="B15" s="58" t="str">
        <f>VLOOKUP(A15,テーブル!$A$3:$C$8,2,0)</f>
        <v>商品Ｇ</v>
      </c>
      <c r="C15" s="59">
        <v>102</v>
      </c>
      <c r="D15" s="59" t="str">
        <f>VLOOKUP(C15,テーブル!$E$3:$H$6,2,0)</f>
        <v>ＡＳＡＤＡ</v>
      </c>
      <c r="E15" s="60">
        <v>99</v>
      </c>
      <c r="F15" s="60">
        <f>ROUNDUP(VLOOKUP(A15,テーブル!$A$3:$C$8,3,0)*(1+VLOOKUP(E15,テーブル!$J$3:$K$5,2,1)),-1)</f>
        <v>3030</v>
      </c>
      <c r="G15" s="61">
        <f t="shared" si="0"/>
        <v>22190</v>
      </c>
      <c r="H15" s="62">
        <f t="shared" si="1"/>
        <v>277780</v>
      </c>
      <c r="I15" s="63">
        <f>H15-VLOOKUP(A15,テーブル!$A$3:$C$8,3,0)*E15</f>
        <v>49288</v>
      </c>
    </row>
    <row r="16" spans="1:10">
      <c r="A16" s="57">
        <v>14</v>
      </c>
      <c r="B16" s="58" t="str">
        <f>VLOOKUP(A16,テーブル!$A$3:$C$8,2,0)</f>
        <v>商品Ｇ</v>
      </c>
      <c r="C16" s="59">
        <v>103</v>
      </c>
      <c r="D16" s="59" t="str">
        <f>VLOOKUP(C16,テーブル!$E$3:$H$6,2,0)</f>
        <v>洋服の鈴木</v>
      </c>
      <c r="E16" s="60">
        <v>175</v>
      </c>
      <c r="F16" s="60">
        <f>ROUNDUP(VLOOKUP(A16,テーブル!$A$3:$C$8,3,0)*(1+VLOOKUP(E16,テーブル!$J$3:$K$5,2,1)),-1)</f>
        <v>2940</v>
      </c>
      <c r="G16" s="61">
        <f t="shared" si="0"/>
        <v>38070</v>
      </c>
      <c r="H16" s="62">
        <f t="shared" si="1"/>
        <v>476430</v>
      </c>
      <c r="I16" s="63">
        <f>H16-VLOOKUP(A16,テーブル!$A$3:$C$8,3,0)*E16</f>
        <v>72530</v>
      </c>
    </row>
    <row r="17" spans="1:10">
      <c r="A17" s="57">
        <v>14</v>
      </c>
      <c r="B17" s="58" t="str">
        <f>VLOOKUP(A17,テーブル!$A$3:$C$8,2,0)</f>
        <v>商品Ｇ</v>
      </c>
      <c r="C17" s="59">
        <v>104</v>
      </c>
      <c r="D17" s="59" t="str">
        <f>VLOOKUP(C17,テーブル!$E$3:$H$6,2,0)</f>
        <v>サンヨウ堂</v>
      </c>
      <c r="E17" s="60">
        <v>152</v>
      </c>
      <c r="F17" s="60">
        <f>ROUNDUP(VLOOKUP(A17,テーブル!$A$3:$C$8,3,0)*(1+VLOOKUP(E17,テーブル!$J$3:$K$5,2,1)),-1)</f>
        <v>2980</v>
      </c>
      <c r="G17" s="61">
        <f t="shared" si="0"/>
        <v>33510</v>
      </c>
      <c r="H17" s="62">
        <f t="shared" si="1"/>
        <v>419450</v>
      </c>
      <c r="I17" s="63">
        <f>H17-VLOOKUP(A17,テーブル!$A$3:$C$8,3,0)*E17</f>
        <v>68634</v>
      </c>
    </row>
    <row r="18" spans="1:10">
      <c r="A18" s="57">
        <v>15</v>
      </c>
      <c r="B18" s="58" t="str">
        <f>VLOOKUP(A18,テーブル!$A$3:$C$8,2,0)</f>
        <v>商品Ｈ</v>
      </c>
      <c r="C18" s="59">
        <v>101</v>
      </c>
      <c r="D18" s="59" t="str">
        <f>VLOOKUP(C18,テーブル!$E$3:$H$6,2,0)</f>
        <v>秋山衣料店</v>
      </c>
      <c r="E18" s="60">
        <v>78</v>
      </c>
      <c r="F18" s="60">
        <f>ROUNDUP(VLOOKUP(A18,テーブル!$A$3:$C$8,3,0)*(1+VLOOKUP(E18,テーブル!$J$3:$K$5,2,1)),-1)</f>
        <v>2450</v>
      </c>
      <c r="G18" s="61">
        <f t="shared" si="0"/>
        <v>14140</v>
      </c>
      <c r="H18" s="62">
        <f t="shared" si="1"/>
        <v>176960</v>
      </c>
      <c r="I18" s="63">
        <f>H18-VLOOKUP(A18,テーブル!$A$3:$C$8,3,0)*E18</f>
        <v>31568</v>
      </c>
    </row>
    <row r="19" spans="1:10">
      <c r="A19" s="57">
        <v>15</v>
      </c>
      <c r="B19" s="58" t="str">
        <f>VLOOKUP(A19,テーブル!$A$3:$C$8,2,0)</f>
        <v>商品Ｈ</v>
      </c>
      <c r="C19" s="59">
        <v>102</v>
      </c>
      <c r="D19" s="59" t="str">
        <f>VLOOKUP(C19,テーブル!$E$3:$H$6,2,0)</f>
        <v>ＡＳＡＤＡ</v>
      </c>
      <c r="E19" s="60">
        <v>129</v>
      </c>
      <c r="F19" s="60">
        <f>ROUNDUP(VLOOKUP(A19,テーブル!$A$3:$C$8,3,0)*(1+VLOOKUP(E19,テーブル!$J$3:$K$5,2,1)),-1)</f>
        <v>2410</v>
      </c>
      <c r="G19" s="61">
        <f t="shared" si="0"/>
        <v>23000</v>
      </c>
      <c r="H19" s="62">
        <f t="shared" si="1"/>
        <v>287890</v>
      </c>
      <c r="I19" s="63">
        <f>H19-VLOOKUP(A19,テーブル!$A$3:$C$8,3,0)*E19</f>
        <v>47434</v>
      </c>
    </row>
    <row r="20" spans="1:10">
      <c r="A20" s="57">
        <v>15</v>
      </c>
      <c r="B20" s="58" t="str">
        <f>VLOOKUP(A20,テーブル!$A$3:$C$8,2,0)</f>
        <v>商品Ｈ</v>
      </c>
      <c r="C20" s="59">
        <v>103</v>
      </c>
      <c r="D20" s="59" t="str">
        <f>VLOOKUP(C20,テーブル!$E$3:$H$6,2,0)</f>
        <v>洋服の鈴木</v>
      </c>
      <c r="E20" s="60">
        <v>197</v>
      </c>
      <c r="F20" s="60">
        <f>ROUNDUP(VLOOKUP(A20,テーブル!$A$3:$C$8,3,0)*(1+VLOOKUP(E20,テーブル!$J$3:$K$5,2,1)),-1)</f>
        <v>2370</v>
      </c>
      <c r="G20" s="61">
        <f t="shared" si="0"/>
        <v>34540</v>
      </c>
      <c r="H20" s="62">
        <f t="shared" si="1"/>
        <v>432350</v>
      </c>
      <c r="I20" s="63">
        <f>H20-VLOOKUP(A20,テーブル!$A$3:$C$8,3,0)*E20</f>
        <v>65142</v>
      </c>
    </row>
    <row r="21" spans="1:10">
      <c r="A21" s="57">
        <v>15</v>
      </c>
      <c r="B21" s="58" t="str">
        <f>VLOOKUP(A21,テーブル!$A$3:$C$8,2,0)</f>
        <v>商品Ｈ</v>
      </c>
      <c r="C21" s="59">
        <v>104</v>
      </c>
      <c r="D21" s="59" t="str">
        <f>VLOOKUP(C21,テーブル!$E$3:$H$6,2,0)</f>
        <v>サンヨウ堂</v>
      </c>
      <c r="E21" s="60">
        <v>169</v>
      </c>
      <c r="F21" s="60">
        <f>ROUNDUP(VLOOKUP(A21,テーブル!$A$3:$C$8,3,0)*(1+VLOOKUP(E21,テーブル!$J$3:$K$5,2,1)),-1)</f>
        <v>2410</v>
      </c>
      <c r="G21" s="61">
        <f t="shared" si="0"/>
        <v>30130</v>
      </c>
      <c r="H21" s="62">
        <f t="shared" si="1"/>
        <v>377160</v>
      </c>
      <c r="I21" s="63">
        <f>H21-VLOOKUP(A21,テーブル!$A$3:$C$8,3,0)*E21</f>
        <v>62144</v>
      </c>
    </row>
    <row r="22" spans="1:10">
      <c r="A22" s="57">
        <v>16</v>
      </c>
      <c r="B22" s="58" t="str">
        <f>VLOOKUP(A22,テーブル!$A$3:$C$8,2,0)</f>
        <v>商品Ⅰ</v>
      </c>
      <c r="C22" s="59">
        <v>101</v>
      </c>
      <c r="D22" s="59" t="str">
        <f>VLOOKUP(C22,テーブル!$E$3:$H$6,2,0)</f>
        <v>秋山衣料店</v>
      </c>
      <c r="E22" s="60">
        <v>216</v>
      </c>
      <c r="F22" s="60">
        <f>ROUNDUP(VLOOKUP(A22,テーブル!$A$3:$C$8,3,0)*(1+VLOOKUP(E22,テーブル!$J$3:$K$5,2,1)),-1)</f>
        <v>2680</v>
      </c>
      <c r="G22" s="61">
        <f t="shared" si="0"/>
        <v>49780</v>
      </c>
      <c r="H22" s="62">
        <f t="shared" si="1"/>
        <v>529100</v>
      </c>
      <c r="I22" s="63">
        <f>H22-VLOOKUP(A22,テーブル!$A$3:$C$8,3,0)*E22</f>
        <v>74420</v>
      </c>
    </row>
    <row r="23" spans="1:10">
      <c r="A23" s="57">
        <v>16</v>
      </c>
      <c r="B23" s="58" t="str">
        <f>VLOOKUP(A23,テーブル!$A$3:$C$8,2,0)</f>
        <v>商品Ⅰ</v>
      </c>
      <c r="C23" s="59">
        <v>102</v>
      </c>
      <c r="D23" s="59" t="str">
        <f>VLOOKUP(C23,テーブル!$E$3:$H$6,2,0)</f>
        <v>ＡＳＡＤＡ</v>
      </c>
      <c r="E23" s="60">
        <v>98</v>
      </c>
      <c r="F23" s="60">
        <f>ROUNDUP(VLOOKUP(A23,テーブル!$A$3:$C$8,3,0)*(1+VLOOKUP(E23,テーブル!$J$3:$K$5,2,1)),-1)</f>
        <v>2760</v>
      </c>
      <c r="G23" s="61">
        <f t="shared" si="0"/>
        <v>20010</v>
      </c>
      <c r="H23" s="62">
        <f t="shared" si="1"/>
        <v>250470</v>
      </c>
      <c r="I23" s="63">
        <f>H23-VLOOKUP(A23,テーブル!$A$3:$C$8,3,0)*E23</f>
        <v>44180</v>
      </c>
    </row>
    <row r="24" spans="1:10">
      <c r="A24" s="57">
        <v>16</v>
      </c>
      <c r="B24" s="58" t="str">
        <f>VLOOKUP(A24,テーブル!$A$3:$C$8,2,0)</f>
        <v>商品Ⅰ</v>
      </c>
      <c r="C24" s="59">
        <v>103</v>
      </c>
      <c r="D24" s="59" t="str">
        <f>VLOOKUP(C24,テーブル!$E$3:$H$6,2,0)</f>
        <v>洋服の鈴木</v>
      </c>
      <c r="E24" s="60">
        <v>107</v>
      </c>
      <c r="F24" s="60">
        <f>ROUNDUP(VLOOKUP(A24,テーブル!$A$3:$C$8,3,0)*(1+VLOOKUP(E24,テーブル!$J$3:$K$5,2,1)),-1)</f>
        <v>2720</v>
      </c>
      <c r="G24" s="61">
        <f t="shared" si="0"/>
        <v>21530</v>
      </c>
      <c r="H24" s="62">
        <f t="shared" si="1"/>
        <v>269510</v>
      </c>
      <c r="I24" s="63">
        <f>H24-VLOOKUP(A24,テーブル!$A$3:$C$8,3,0)*E24</f>
        <v>44275</v>
      </c>
    </row>
    <row r="25" spans="1:10">
      <c r="A25" s="57">
        <v>16</v>
      </c>
      <c r="B25" s="58" t="str">
        <f>VLOOKUP(A25,テーブル!$A$3:$C$8,2,0)</f>
        <v>商品Ⅰ</v>
      </c>
      <c r="C25" s="59">
        <v>104</v>
      </c>
      <c r="D25" s="59" t="str">
        <f>VLOOKUP(C25,テーブル!$E$3:$H$6,2,0)</f>
        <v>サンヨウ堂</v>
      </c>
      <c r="E25" s="60">
        <v>176</v>
      </c>
      <c r="F25" s="60">
        <f>ROUNDUP(VLOOKUP(A25,テーブル!$A$3:$C$8,3,0)*(1+VLOOKUP(E25,テーブル!$J$3:$K$5,2,1)),-1)</f>
        <v>2680</v>
      </c>
      <c r="G25" s="61">
        <f t="shared" si="0"/>
        <v>34900</v>
      </c>
      <c r="H25" s="62">
        <f t="shared" si="1"/>
        <v>436780</v>
      </c>
      <c r="I25" s="63">
        <f>H25-VLOOKUP(A25,テーブル!$A$3:$C$8,3,0)*E25</f>
        <v>66300</v>
      </c>
    </row>
    <row r="26" spans="1:10">
      <c r="A26" s="57"/>
      <c r="B26" s="64"/>
      <c r="C26" s="59"/>
      <c r="D26" s="59"/>
      <c r="E26" s="59"/>
      <c r="F26" s="59"/>
      <c r="G26" s="59"/>
      <c r="H26" s="59"/>
      <c r="I26" s="65"/>
    </row>
    <row r="27" spans="1:10" ht="14.25" thickBot="1">
      <c r="A27" s="66"/>
      <c r="B27" s="67" t="s">
        <v>1</v>
      </c>
      <c r="C27" s="68"/>
      <c r="D27" s="69"/>
      <c r="E27" s="70">
        <f>SUM(E2:E25)</f>
        <v>3396</v>
      </c>
      <c r="F27" s="70"/>
      <c r="G27" s="70">
        <f>SUM(G2:G25)</f>
        <v>700890</v>
      </c>
      <c r="H27" s="70">
        <f>SUM(H2:H25)</f>
        <v>8334610</v>
      </c>
      <c r="I27" s="71">
        <f>SUM(I2:I25)</f>
        <v>1318938</v>
      </c>
      <c r="J27" s="33"/>
    </row>
    <row r="29" spans="1:10">
      <c r="F29" s="21"/>
    </row>
  </sheetData>
  <sortState xmlns:xlrd2="http://schemas.microsoft.com/office/spreadsheetml/2017/richdata2" ref="A2:J25">
    <sortCondition ref="J2:J25"/>
  </sortState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9"/>
  <sheetViews>
    <sheetView zoomScaleNormal="100" workbookViewId="0"/>
  </sheetViews>
  <sheetFormatPr defaultRowHeight="13.5"/>
  <cols>
    <col min="1" max="3" width="7.5" style="1" bestFit="1" customWidth="1"/>
    <col min="4" max="4" width="11.625" style="1" bestFit="1" customWidth="1"/>
    <col min="5" max="5" width="7.5" style="1" customWidth="1"/>
    <col min="6" max="6" width="6.5" style="1" bestFit="1" customWidth="1"/>
    <col min="7" max="7" width="8.5" style="1" bestFit="1" customWidth="1"/>
    <col min="8" max="9" width="10.5" style="1" bestFit="1" customWidth="1"/>
    <col min="10" max="10" width="5.75" style="1" customWidth="1"/>
    <col min="11" max="16384" width="9" style="1"/>
  </cols>
  <sheetData>
    <row r="1" spans="1:10">
      <c r="A1" s="54" t="s">
        <v>4</v>
      </c>
      <c r="B1" s="55" t="s">
        <v>5</v>
      </c>
      <c r="C1" s="55" t="s">
        <v>10</v>
      </c>
      <c r="D1" s="55" t="s">
        <v>11</v>
      </c>
      <c r="E1" s="55" t="s">
        <v>13</v>
      </c>
      <c r="F1" s="55" t="s">
        <v>16</v>
      </c>
      <c r="G1" s="55" t="s">
        <v>15</v>
      </c>
      <c r="H1" s="55" t="s">
        <v>14</v>
      </c>
      <c r="I1" s="56" t="s">
        <v>20</v>
      </c>
      <c r="J1" s="30"/>
    </row>
    <row r="2" spans="1:10">
      <c r="A2" s="57">
        <v>11</v>
      </c>
      <c r="B2" s="58" t="str">
        <f>VLOOKUP(A2,テーブル!$A$3:$C$8,2,0)</f>
        <v>商品Ｄ</v>
      </c>
      <c r="C2" s="59">
        <v>101</v>
      </c>
      <c r="D2" s="59" t="str">
        <f>VLOOKUP(C2,テーブル!$E$3:$H$6,2,0)</f>
        <v>秋山衣料店</v>
      </c>
      <c r="E2" s="72">
        <v>139</v>
      </c>
      <c r="F2" s="60">
        <f>ROUNDUP(VLOOKUP(A2,テーブル!$A$3:$C$8,3,0)*(1+VLOOKUP(E2,テーブル!$J$3:$K$5,2,1)),-1)</f>
        <v>2280</v>
      </c>
      <c r="G2" s="61">
        <f t="shared" ref="G2:G25" si="0">ROUNDDOWN(IF(OR(E2&gt;=200,F2&gt;=3200),F2*E2*8.6%,F2*E2*7.4%),-1)</f>
        <v>23450</v>
      </c>
      <c r="H2" s="62">
        <f t="shared" ref="H2:H25" si="1">F2*E2-G2</f>
        <v>293470</v>
      </c>
      <c r="I2" s="63">
        <f>H2-VLOOKUP(A2,テーブル!$A$3:$C$8,3,0)*E2</f>
        <v>48691</v>
      </c>
    </row>
    <row r="3" spans="1:10">
      <c r="A3" s="57">
        <v>11</v>
      </c>
      <c r="B3" s="58" t="str">
        <f>VLOOKUP(A3,テーブル!$A$3:$C$8,2,0)</f>
        <v>商品Ｄ</v>
      </c>
      <c r="C3" s="59">
        <v>102</v>
      </c>
      <c r="D3" s="59" t="str">
        <f>VLOOKUP(C3,テーブル!$E$3:$H$6,2,0)</f>
        <v>ＡＳＡＤＡ</v>
      </c>
      <c r="E3" s="72">
        <v>176</v>
      </c>
      <c r="F3" s="60">
        <f>ROUNDUP(VLOOKUP(A3,テーブル!$A$3:$C$8,3,0)*(1+VLOOKUP(E3,テーブル!$J$3:$K$5,2,1)),-1)</f>
        <v>2240</v>
      </c>
      <c r="G3" s="61">
        <f t="shared" si="0"/>
        <v>29170</v>
      </c>
      <c r="H3" s="62">
        <f t="shared" si="1"/>
        <v>365070</v>
      </c>
      <c r="I3" s="63">
        <f>H3-VLOOKUP(A3,テーブル!$A$3:$C$8,3,0)*E3</f>
        <v>55134</v>
      </c>
    </row>
    <row r="4" spans="1:10">
      <c r="A4" s="57">
        <v>11</v>
      </c>
      <c r="B4" s="58" t="str">
        <f>VLOOKUP(A4,テーブル!$A$3:$C$8,2,0)</f>
        <v>商品Ｄ</v>
      </c>
      <c r="C4" s="59">
        <v>103</v>
      </c>
      <c r="D4" s="59" t="str">
        <f>VLOOKUP(C4,テーブル!$E$3:$H$6,2,0)</f>
        <v>洋服の鈴木</v>
      </c>
      <c r="E4" s="72">
        <v>98</v>
      </c>
      <c r="F4" s="60">
        <f>ROUNDUP(VLOOKUP(A4,テーブル!$A$3:$C$8,3,0)*(1+VLOOKUP(E4,テーブル!$J$3:$K$5,2,1)),-1)</f>
        <v>2310</v>
      </c>
      <c r="G4" s="61">
        <f t="shared" si="0"/>
        <v>16750</v>
      </c>
      <c r="H4" s="62">
        <f t="shared" si="1"/>
        <v>209630</v>
      </c>
      <c r="I4" s="63">
        <f>H4-VLOOKUP(A4,テーブル!$A$3:$C$8,3,0)*E4</f>
        <v>37052</v>
      </c>
    </row>
    <row r="5" spans="1:10">
      <c r="A5" s="57">
        <v>11</v>
      </c>
      <c r="B5" s="58" t="str">
        <f>VLOOKUP(A5,テーブル!$A$3:$C$8,2,0)</f>
        <v>商品Ｄ</v>
      </c>
      <c r="C5" s="59">
        <v>104</v>
      </c>
      <c r="D5" s="59" t="str">
        <f>VLOOKUP(C5,テーブル!$E$3:$H$6,2,0)</f>
        <v>サンヨウ堂</v>
      </c>
      <c r="E5" s="60">
        <v>158</v>
      </c>
      <c r="F5" s="60">
        <f>ROUNDUP(VLOOKUP(A5,テーブル!$A$3:$C$8,3,0)*(1+VLOOKUP(E5,テーブル!$J$3:$K$5,2,1)),-1)</f>
        <v>2280</v>
      </c>
      <c r="G5" s="61">
        <f t="shared" si="0"/>
        <v>26650</v>
      </c>
      <c r="H5" s="62">
        <f t="shared" si="1"/>
        <v>333590</v>
      </c>
      <c r="I5" s="63">
        <f>H5-VLOOKUP(A5,テーブル!$A$3:$C$8,3,0)*E5</f>
        <v>55352</v>
      </c>
    </row>
    <row r="6" spans="1:10">
      <c r="A6" s="57">
        <v>12</v>
      </c>
      <c r="B6" s="58" t="str">
        <f>VLOOKUP(A6,テーブル!$A$3:$C$8,2,0)</f>
        <v>商品Ｅ</v>
      </c>
      <c r="C6" s="59">
        <v>101</v>
      </c>
      <c r="D6" s="59" t="str">
        <f>VLOOKUP(C6,テーブル!$E$3:$H$6,2,0)</f>
        <v>秋山衣料店</v>
      </c>
      <c r="E6" s="72">
        <v>128</v>
      </c>
      <c r="F6" s="60">
        <f>ROUNDUP(VLOOKUP(A6,テーブル!$A$3:$C$8,3,0)*(1+VLOOKUP(E6,テーブル!$J$3:$K$5,2,1)),-1)</f>
        <v>3200</v>
      </c>
      <c r="G6" s="61">
        <f t="shared" si="0"/>
        <v>35220</v>
      </c>
      <c r="H6" s="62">
        <f t="shared" si="1"/>
        <v>374380</v>
      </c>
      <c r="I6" s="63">
        <f>H6-VLOOKUP(A6,テーブル!$A$3:$C$8,3,0)*E6</f>
        <v>57068</v>
      </c>
    </row>
    <row r="7" spans="1:10">
      <c r="A7" s="57">
        <v>12</v>
      </c>
      <c r="B7" s="58" t="str">
        <f>VLOOKUP(A7,テーブル!$A$3:$C$8,2,0)</f>
        <v>商品Ｅ</v>
      </c>
      <c r="C7" s="59">
        <v>102</v>
      </c>
      <c r="D7" s="59" t="str">
        <f>VLOOKUP(C7,テーブル!$E$3:$H$6,2,0)</f>
        <v>ＡＳＡＤＡ</v>
      </c>
      <c r="E7" s="72">
        <v>218</v>
      </c>
      <c r="F7" s="60">
        <f>ROUNDUP(VLOOKUP(A7,テーブル!$A$3:$C$8,3,0)*(1+VLOOKUP(E7,テーブル!$J$3:$K$5,2,1)),-1)</f>
        <v>3150</v>
      </c>
      <c r="G7" s="61">
        <f t="shared" si="0"/>
        <v>59050</v>
      </c>
      <c r="H7" s="62">
        <f t="shared" si="1"/>
        <v>627650</v>
      </c>
      <c r="I7" s="63">
        <f>H7-VLOOKUP(A7,テーブル!$A$3:$C$8,3,0)*E7</f>
        <v>87228</v>
      </c>
    </row>
    <row r="8" spans="1:10">
      <c r="A8" s="57">
        <v>12</v>
      </c>
      <c r="B8" s="58" t="str">
        <f>VLOOKUP(A8,テーブル!$A$3:$C$8,2,0)</f>
        <v>商品Ｅ</v>
      </c>
      <c r="C8" s="59">
        <v>103</v>
      </c>
      <c r="D8" s="59" t="str">
        <f>VLOOKUP(C8,テーブル!$E$3:$H$6,2,0)</f>
        <v>洋服の鈴木</v>
      </c>
      <c r="E8" s="72">
        <v>143</v>
      </c>
      <c r="F8" s="60">
        <f>ROUNDUP(VLOOKUP(A8,テーブル!$A$3:$C$8,3,0)*(1+VLOOKUP(E8,テーブル!$J$3:$K$5,2,1)),-1)</f>
        <v>3200</v>
      </c>
      <c r="G8" s="61">
        <f t="shared" si="0"/>
        <v>39350</v>
      </c>
      <c r="H8" s="62">
        <f t="shared" si="1"/>
        <v>418250</v>
      </c>
      <c r="I8" s="63">
        <f>H8-VLOOKUP(A8,テーブル!$A$3:$C$8,3,0)*E8</f>
        <v>63753</v>
      </c>
    </row>
    <row r="9" spans="1:10">
      <c r="A9" s="57">
        <v>12</v>
      </c>
      <c r="B9" s="58" t="str">
        <f>VLOOKUP(A9,テーブル!$A$3:$C$8,2,0)</f>
        <v>商品Ｅ</v>
      </c>
      <c r="C9" s="59">
        <v>104</v>
      </c>
      <c r="D9" s="59" t="str">
        <f>VLOOKUP(C9,テーブル!$E$3:$H$6,2,0)</f>
        <v>サンヨウ堂</v>
      </c>
      <c r="E9" s="72">
        <v>85</v>
      </c>
      <c r="F9" s="60">
        <f>ROUNDUP(VLOOKUP(A9,テーブル!$A$3:$C$8,3,0)*(1+VLOOKUP(E9,テーブル!$J$3:$K$5,2,1)),-1)</f>
        <v>3250</v>
      </c>
      <c r="G9" s="61">
        <f t="shared" si="0"/>
        <v>23750</v>
      </c>
      <c r="H9" s="62">
        <f t="shared" si="1"/>
        <v>252500</v>
      </c>
      <c r="I9" s="63">
        <f>H9-VLOOKUP(A9,テーブル!$A$3:$C$8,3,0)*E9</f>
        <v>41785</v>
      </c>
    </row>
    <row r="10" spans="1:10">
      <c r="A10" s="57">
        <v>13</v>
      </c>
      <c r="B10" s="58" t="str">
        <f>VLOOKUP(A10,テーブル!$A$3:$C$8,2,0)</f>
        <v>商品Ｆ</v>
      </c>
      <c r="C10" s="59">
        <v>101</v>
      </c>
      <c r="D10" s="59" t="str">
        <f>VLOOKUP(C10,テーブル!$E$3:$H$6,2,0)</f>
        <v>秋山衣料店</v>
      </c>
      <c r="E10" s="72">
        <v>156</v>
      </c>
      <c r="F10" s="60">
        <f>ROUNDUP(VLOOKUP(A10,テーブル!$A$3:$C$8,3,0)*(1+VLOOKUP(E10,テーブル!$J$3:$K$5,2,1)),-1)</f>
        <v>2520</v>
      </c>
      <c r="G10" s="61">
        <f t="shared" si="0"/>
        <v>29090</v>
      </c>
      <c r="H10" s="62">
        <f t="shared" si="1"/>
        <v>364030</v>
      </c>
      <c r="I10" s="63">
        <f>H10-VLOOKUP(A10,テーブル!$A$3:$C$8,3,0)*E10</f>
        <v>59362</v>
      </c>
    </row>
    <row r="11" spans="1:10">
      <c r="A11" s="57">
        <v>13</v>
      </c>
      <c r="B11" s="58" t="str">
        <f>VLOOKUP(A11,テーブル!$A$3:$C$8,2,0)</f>
        <v>商品Ｆ</v>
      </c>
      <c r="C11" s="59">
        <v>102</v>
      </c>
      <c r="D11" s="59" t="str">
        <f>VLOOKUP(C11,テーブル!$E$3:$H$6,2,0)</f>
        <v>ＡＳＡＤＡ</v>
      </c>
      <c r="E11" s="72">
        <v>207</v>
      </c>
      <c r="F11" s="60">
        <f>ROUNDUP(VLOOKUP(A11,テーブル!$A$3:$C$8,3,0)*(1+VLOOKUP(E11,テーブル!$J$3:$K$5,2,1)),-1)</f>
        <v>2490</v>
      </c>
      <c r="G11" s="61">
        <f t="shared" si="0"/>
        <v>44320</v>
      </c>
      <c r="H11" s="62">
        <f t="shared" si="1"/>
        <v>471110</v>
      </c>
      <c r="I11" s="63">
        <f>H11-VLOOKUP(A11,テーブル!$A$3:$C$8,3,0)*E11</f>
        <v>66839</v>
      </c>
    </row>
    <row r="12" spans="1:10">
      <c r="A12" s="57">
        <v>13</v>
      </c>
      <c r="B12" s="58" t="str">
        <f>VLOOKUP(A12,テーブル!$A$3:$C$8,2,0)</f>
        <v>商品Ｆ</v>
      </c>
      <c r="C12" s="59">
        <v>103</v>
      </c>
      <c r="D12" s="59" t="str">
        <f>VLOOKUP(C12,テーブル!$E$3:$H$6,2,0)</f>
        <v>洋服の鈴木</v>
      </c>
      <c r="E12" s="72">
        <v>74</v>
      </c>
      <c r="F12" s="60">
        <f>ROUNDUP(VLOOKUP(A12,テーブル!$A$3:$C$8,3,0)*(1+VLOOKUP(E12,テーブル!$J$3:$K$5,2,1)),-1)</f>
        <v>2560</v>
      </c>
      <c r="G12" s="61">
        <f t="shared" si="0"/>
        <v>14010</v>
      </c>
      <c r="H12" s="62">
        <f t="shared" si="1"/>
        <v>175430</v>
      </c>
      <c r="I12" s="63">
        <f>H12-VLOOKUP(A12,テーブル!$A$3:$C$8,3,0)*E12</f>
        <v>30908</v>
      </c>
    </row>
    <row r="13" spans="1:10">
      <c r="A13" s="57">
        <v>13</v>
      </c>
      <c r="B13" s="58" t="str">
        <f>VLOOKUP(A13,テーブル!$A$3:$C$8,2,0)</f>
        <v>商品Ｆ</v>
      </c>
      <c r="C13" s="59">
        <v>104</v>
      </c>
      <c r="D13" s="59" t="str">
        <f>VLOOKUP(C13,テーブル!$E$3:$H$6,2,0)</f>
        <v>サンヨウ堂</v>
      </c>
      <c r="E13" s="60">
        <v>147</v>
      </c>
      <c r="F13" s="60">
        <f>ROUNDUP(VLOOKUP(A13,テーブル!$A$3:$C$8,3,0)*(1+VLOOKUP(E13,テーブル!$J$3:$K$5,2,1)),-1)</f>
        <v>2520</v>
      </c>
      <c r="G13" s="61">
        <f t="shared" si="0"/>
        <v>27410</v>
      </c>
      <c r="H13" s="62">
        <f t="shared" si="1"/>
        <v>343030</v>
      </c>
      <c r="I13" s="63">
        <f>H13-VLOOKUP(A13,テーブル!$A$3:$C$8,3,0)*E13</f>
        <v>55939</v>
      </c>
    </row>
    <row r="14" spans="1:10">
      <c r="A14" s="57">
        <v>14</v>
      </c>
      <c r="B14" s="58" t="str">
        <f>VLOOKUP(A14,テーブル!$A$3:$C$8,2,0)</f>
        <v>商品Ｇ</v>
      </c>
      <c r="C14" s="59">
        <v>101</v>
      </c>
      <c r="D14" s="59" t="str">
        <f>VLOOKUP(C14,テーブル!$E$3:$H$6,2,0)</f>
        <v>秋山衣料店</v>
      </c>
      <c r="E14" s="60">
        <v>124</v>
      </c>
      <c r="F14" s="60">
        <f>ROUNDUP(VLOOKUP(A14,テーブル!$A$3:$C$8,3,0)*(1+VLOOKUP(E14,テーブル!$J$3:$K$5,2,1)),-1)</f>
        <v>2980</v>
      </c>
      <c r="G14" s="61">
        <f t="shared" si="0"/>
        <v>27340</v>
      </c>
      <c r="H14" s="62">
        <f t="shared" si="1"/>
        <v>342180</v>
      </c>
      <c r="I14" s="63">
        <f>H14-VLOOKUP(A14,テーブル!$A$3:$C$8,3,0)*E14</f>
        <v>55988</v>
      </c>
    </row>
    <row r="15" spans="1:10">
      <c r="A15" s="57">
        <v>14</v>
      </c>
      <c r="B15" s="58" t="str">
        <f>VLOOKUP(A15,テーブル!$A$3:$C$8,2,0)</f>
        <v>商品Ｇ</v>
      </c>
      <c r="C15" s="59">
        <v>102</v>
      </c>
      <c r="D15" s="59" t="str">
        <f>VLOOKUP(C15,テーブル!$E$3:$H$6,2,0)</f>
        <v>ＡＳＡＤＡ</v>
      </c>
      <c r="E15" s="60">
        <v>98</v>
      </c>
      <c r="F15" s="60">
        <f>ROUNDUP(VLOOKUP(A15,テーブル!$A$3:$C$8,3,0)*(1+VLOOKUP(E15,テーブル!$J$3:$K$5,2,1)),-1)</f>
        <v>3030</v>
      </c>
      <c r="G15" s="61">
        <f t="shared" si="0"/>
        <v>21970</v>
      </c>
      <c r="H15" s="62">
        <f t="shared" si="1"/>
        <v>274970</v>
      </c>
      <c r="I15" s="63">
        <f>H15-VLOOKUP(A15,テーブル!$A$3:$C$8,3,0)*E15</f>
        <v>48786</v>
      </c>
    </row>
    <row r="16" spans="1:10">
      <c r="A16" s="57">
        <v>14</v>
      </c>
      <c r="B16" s="58" t="str">
        <f>VLOOKUP(A16,テーブル!$A$3:$C$8,2,0)</f>
        <v>商品Ｇ</v>
      </c>
      <c r="C16" s="59">
        <v>103</v>
      </c>
      <c r="D16" s="59" t="str">
        <f>VLOOKUP(C16,テーブル!$E$3:$H$6,2,0)</f>
        <v>洋服の鈴木</v>
      </c>
      <c r="E16" s="60">
        <v>177</v>
      </c>
      <c r="F16" s="60">
        <f>ROUNDUP(VLOOKUP(A16,テーブル!$A$3:$C$8,3,0)*(1+VLOOKUP(E16,テーブル!$J$3:$K$5,2,1)),-1)</f>
        <v>2940</v>
      </c>
      <c r="G16" s="61">
        <f t="shared" si="0"/>
        <v>38500</v>
      </c>
      <c r="H16" s="62">
        <f t="shared" si="1"/>
        <v>481880</v>
      </c>
      <c r="I16" s="63">
        <f>H16-VLOOKUP(A16,テーブル!$A$3:$C$8,3,0)*E16</f>
        <v>73364</v>
      </c>
    </row>
    <row r="17" spans="1:9">
      <c r="A17" s="57">
        <v>14</v>
      </c>
      <c r="B17" s="58" t="str">
        <f>VLOOKUP(A17,テーブル!$A$3:$C$8,2,0)</f>
        <v>商品Ｇ</v>
      </c>
      <c r="C17" s="59">
        <v>104</v>
      </c>
      <c r="D17" s="59" t="str">
        <f>VLOOKUP(C17,テーブル!$E$3:$H$6,2,0)</f>
        <v>サンヨウ堂</v>
      </c>
      <c r="E17" s="60">
        <v>140</v>
      </c>
      <c r="F17" s="60">
        <f>ROUNDUP(VLOOKUP(A17,テーブル!$A$3:$C$8,3,0)*(1+VLOOKUP(E17,テーブル!$J$3:$K$5,2,1)),-1)</f>
        <v>2980</v>
      </c>
      <c r="G17" s="61">
        <f t="shared" si="0"/>
        <v>30870</v>
      </c>
      <c r="H17" s="62">
        <f t="shared" si="1"/>
        <v>386330</v>
      </c>
      <c r="I17" s="63">
        <f>H17-VLOOKUP(A17,テーブル!$A$3:$C$8,3,0)*E17</f>
        <v>63210</v>
      </c>
    </row>
    <row r="18" spans="1:9">
      <c r="A18" s="57">
        <v>15</v>
      </c>
      <c r="B18" s="58" t="str">
        <f>VLOOKUP(A18,テーブル!$A$3:$C$8,2,0)</f>
        <v>商品Ｈ</v>
      </c>
      <c r="C18" s="59">
        <v>101</v>
      </c>
      <c r="D18" s="59" t="str">
        <f>VLOOKUP(C18,テーブル!$E$3:$H$6,2,0)</f>
        <v>秋山衣料店</v>
      </c>
      <c r="E18" s="60">
        <v>83</v>
      </c>
      <c r="F18" s="60">
        <f>ROUNDUP(VLOOKUP(A18,テーブル!$A$3:$C$8,3,0)*(1+VLOOKUP(E18,テーブル!$J$3:$K$5,2,1)),-1)</f>
        <v>2450</v>
      </c>
      <c r="G18" s="61">
        <f t="shared" si="0"/>
        <v>15040</v>
      </c>
      <c r="H18" s="62">
        <f t="shared" si="1"/>
        <v>188310</v>
      </c>
      <c r="I18" s="63">
        <f>H18-VLOOKUP(A18,テーブル!$A$3:$C$8,3,0)*E18</f>
        <v>33598</v>
      </c>
    </row>
    <row r="19" spans="1:9">
      <c r="A19" s="57">
        <v>15</v>
      </c>
      <c r="B19" s="58" t="str">
        <f>VLOOKUP(A19,テーブル!$A$3:$C$8,2,0)</f>
        <v>商品Ｈ</v>
      </c>
      <c r="C19" s="59">
        <v>102</v>
      </c>
      <c r="D19" s="59" t="str">
        <f>VLOOKUP(C19,テーブル!$E$3:$H$6,2,0)</f>
        <v>ＡＳＡＤＡ</v>
      </c>
      <c r="E19" s="60">
        <v>113</v>
      </c>
      <c r="F19" s="60">
        <f>ROUNDUP(VLOOKUP(A19,テーブル!$A$3:$C$8,3,0)*(1+VLOOKUP(E19,テーブル!$J$3:$K$5,2,1)),-1)</f>
        <v>2410</v>
      </c>
      <c r="G19" s="61">
        <f t="shared" si="0"/>
        <v>20150</v>
      </c>
      <c r="H19" s="62">
        <f t="shared" si="1"/>
        <v>252180</v>
      </c>
      <c r="I19" s="63">
        <f>H19-VLOOKUP(A19,テーブル!$A$3:$C$8,3,0)*E19</f>
        <v>41548</v>
      </c>
    </row>
    <row r="20" spans="1:9">
      <c r="A20" s="57">
        <v>15</v>
      </c>
      <c r="B20" s="58" t="str">
        <f>VLOOKUP(A20,テーブル!$A$3:$C$8,2,0)</f>
        <v>商品Ｈ</v>
      </c>
      <c r="C20" s="59">
        <v>103</v>
      </c>
      <c r="D20" s="59" t="str">
        <f>VLOOKUP(C20,テーブル!$E$3:$H$6,2,0)</f>
        <v>洋服の鈴木</v>
      </c>
      <c r="E20" s="60">
        <v>204</v>
      </c>
      <c r="F20" s="60">
        <f>ROUNDUP(VLOOKUP(A20,テーブル!$A$3:$C$8,3,0)*(1+VLOOKUP(E20,テーブル!$J$3:$K$5,2,1)),-1)</f>
        <v>2370</v>
      </c>
      <c r="G20" s="61">
        <f t="shared" si="0"/>
        <v>41570</v>
      </c>
      <c r="H20" s="62">
        <f t="shared" si="1"/>
        <v>441910</v>
      </c>
      <c r="I20" s="63">
        <f>H20-VLOOKUP(A20,テーブル!$A$3:$C$8,3,0)*E20</f>
        <v>61654</v>
      </c>
    </row>
    <row r="21" spans="1:9">
      <c r="A21" s="57">
        <v>15</v>
      </c>
      <c r="B21" s="58" t="str">
        <f>VLOOKUP(A21,テーブル!$A$3:$C$8,2,0)</f>
        <v>商品Ｈ</v>
      </c>
      <c r="C21" s="59">
        <v>104</v>
      </c>
      <c r="D21" s="59" t="str">
        <f>VLOOKUP(C21,テーブル!$E$3:$H$6,2,0)</f>
        <v>サンヨウ堂</v>
      </c>
      <c r="E21" s="60">
        <v>175</v>
      </c>
      <c r="F21" s="60">
        <f>ROUNDUP(VLOOKUP(A21,テーブル!$A$3:$C$8,3,0)*(1+VLOOKUP(E21,テーブル!$J$3:$K$5,2,1)),-1)</f>
        <v>2370</v>
      </c>
      <c r="G21" s="61">
        <f t="shared" si="0"/>
        <v>30690</v>
      </c>
      <c r="H21" s="62">
        <f t="shared" si="1"/>
        <v>384060</v>
      </c>
      <c r="I21" s="63">
        <f>H21-VLOOKUP(A21,テーブル!$A$3:$C$8,3,0)*E21</f>
        <v>57860</v>
      </c>
    </row>
    <row r="22" spans="1:9">
      <c r="A22" s="57">
        <v>16</v>
      </c>
      <c r="B22" s="58" t="str">
        <f>VLOOKUP(A22,テーブル!$A$3:$C$8,2,0)</f>
        <v>商品Ⅰ</v>
      </c>
      <c r="C22" s="59">
        <v>101</v>
      </c>
      <c r="D22" s="59" t="str">
        <f>VLOOKUP(C22,テーブル!$E$3:$H$6,2,0)</f>
        <v>秋山衣料店</v>
      </c>
      <c r="E22" s="60">
        <v>237</v>
      </c>
      <c r="F22" s="60">
        <f>ROUNDUP(VLOOKUP(A22,テーブル!$A$3:$C$8,3,0)*(1+VLOOKUP(E22,テーブル!$J$3:$K$5,2,1)),-1)</f>
        <v>2680</v>
      </c>
      <c r="G22" s="61">
        <f t="shared" si="0"/>
        <v>54620</v>
      </c>
      <c r="H22" s="62">
        <f t="shared" si="1"/>
        <v>580540</v>
      </c>
      <c r="I22" s="63">
        <f>H22-VLOOKUP(A22,テーブル!$A$3:$C$8,3,0)*E22</f>
        <v>81655</v>
      </c>
    </row>
    <row r="23" spans="1:9">
      <c r="A23" s="57">
        <v>16</v>
      </c>
      <c r="B23" s="58" t="str">
        <f>VLOOKUP(A23,テーブル!$A$3:$C$8,2,0)</f>
        <v>商品Ⅰ</v>
      </c>
      <c r="C23" s="59">
        <v>102</v>
      </c>
      <c r="D23" s="59" t="str">
        <f>VLOOKUP(C23,テーブル!$E$3:$H$6,2,0)</f>
        <v>ＡＳＡＤＡ</v>
      </c>
      <c r="E23" s="60">
        <v>82</v>
      </c>
      <c r="F23" s="60">
        <f>ROUNDUP(VLOOKUP(A23,テーブル!$A$3:$C$8,3,0)*(1+VLOOKUP(E23,テーブル!$J$3:$K$5,2,1)),-1)</f>
        <v>2760</v>
      </c>
      <c r="G23" s="61">
        <f t="shared" si="0"/>
        <v>16740</v>
      </c>
      <c r="H23" s="62">
        <f t="shared" si="1"/>
        <v>209580</v>
      </c>
      <c r="I23" s="63">
        <f>H23-VLOOKUP(A23,テーブル!$A$3:$C$8,3,0)*E23</f>
        <v>36970</v>
      </c>
    </row>
    <row r="24" spans="1:9">
      <c r="A24" s="57">
        <v>16</v>
      </c>
      <c r="B24" s="58" t="str">
        <f>VLOOKUP(A24,テーブル!$A$3:$C$8,2,0)</f>
        <v>商品Ⅰ</v>
      </c>
      <c r="C24" s="59">
        <v>103</v>
      </c>
      <c r="D24" s="59" t="str">
        <f>VLOOKUP(C24,テーブル!$E$3:$H$6,2,0)</f>
        <v>洋服の鈴木</v>
      </c>
      <c r="E24" s="60">
        <v>102</v>
      </c>
      <c r="F24" s="60">
        <f>ROUNDUP(VLOOKUP(A24,テーブル!$A$3:$C$8,3,0)*(1+VLOOKUP(E24,テーブル!$J$3:$K$5,2,1)),-1)</f>
        <v>2720</v>
      </c>
      <c r="G24" s="61">
        <f t="shared" si="0"/>
        <v>20530</v>
      </c>
      <c r="H24" s="62">
        <f t="shared" si="1"/>
        <v>256910</v>
      </c>
      <c r="I24" s="63">
        <f>H24-VLOOKUP(A24,テーブル!$A$3:$C$8,3,0)*E24</f>
        <v>42200</v>
      </c>
    </row>
    <row r="25" spans="1:9">
      <c r="A25" s="57">
        <v>13</v>
      </c>
      <c r="B25" s="58" t="str">
        <f>VLOOKUP(A25,テーブル!$A$3:$C$8,2,0)</f>
        <v>商品Ｆ</v>
      </c>
      <c r="C25" s="59">
        <v>104</v>
      </c>
      <c r="D25" s="59" t="str">
        <f>VLOOKUP(C25,テーブル!$E$3:$H$6,2,0)</f>
        <v>サンヨウ堂</v>
      </c>
      <c r="E25" s="60">
        <v>184</v>
      </c>
      <c r="F25" s="60">
        <f>ROUNDUP(VLOOKUP(A25,テーブル!$A$3:$C$8,3,0)*(1+VLOOKUP(E25,テーブル!$J$3:$K$5,2,1)),-1)</f>
        <v>2490</v>
      </c>
      <c r="G25" s="61">
        <f t="shared" si="0"/>
        <v>33900</v>
      </c>
      <c r="H25" s="62">
        <f t="shared" si="1"/>
        <v>424260</v>
      </c>
      <c r="I25" s="63">
        <f>H25-VLOOKUP(A25,テーブル!$A$3:$C$8,3,0)*E25</f>
        <v>64908</v>
      </c>
    </row>
    <row r="26" spans="1:9">
      <c r="A26" s="57"/>
      <c r="B26" s="64"/>
      <c r="C26" s="59"/>
      <c r="D26" s="59"/>
      <c r="E26" s="59"/>
      <c r="F26" s="59"/>
      <c r="G26" s="59"/>
      <c r="H26" s="59"/>
      <c r="I26" s="65"/>
    </row>
    <row r="27" spans="1:9" ht="14.25" thickBot="1">
      <c r="A27" s="66"/>
      <c r="B27" s="67" t="s">
        <v>1</v>
      </c>
      <c r="C27" s="68"/>
      <c r="D27" s="69"/>
      <c r="E27" s="70">
        <f>SUM(E2:E25)</f>
        <v>3448</v>
      </c>
      <c r="F27" s="70"/>
      <c r="G27" s="70">
        <f>SUM(G2:G25)</f>
        <v>720140</v>
      </c>
      <c r="H27" s="70">
        <f>SUM(H2:H25)</f>
        <v>8451250</v>
      </c>
      <c r="I27" s="71">
        <f>SUM(I2:I25)</f>
        <v>1320852</v>
      </c>
    </row>
    <row r="29" spans="1:9">
      <c r="E29" s="21"/>
      <c r="F29" s="21"/>
      <c r="H29" s="21"/>
      <c r="I29" s="21"/>
    </row>
  </sheetData>
  <sortState xmlns:xlrd2="http://schemas.microsoft.com/office/spreadsheetml/2017/richdata2" ref="A2:J25">
    <sortCondition ref="J2:J25"/>
  </sortState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15"/>
  <sheetViews>
    <sheetView zoomScaleNormal="100" workbookViewId="0">
      <selection sqref="A1:D1"/>
    </sheetView>
  </sheetViews>
  <sheetFormatPr defaultRowHeight="13.5"/>
  <cols>
    <col min="1" max="2" width="7.5" style="1" bestFit="1" customWidth="1"/>
    <col min="3" max="3" width="11.625" style="1" bestFit="1" customWidth="1"/>
    <col min="4" max="4" width="10.5" style="1" bestFit="1" customWidth="1"/>
    <col min="5" max="5" width="6.5" style="1" customWidth="1"/>
    <col min="6" max="6" width="7.5" style="1" bestFit="1" customWidth="1"/>
    <col min="7" max="7" width="11.625" style="1" bestFit="1" customWidth="1"/>
    <col min="8" max="8" width="7.5" style="1" customWidth="1"/>
    <col min="9" max="10" width="10.5" style="1" bestFit="1" customWidth="1"/>
    <col min="11" max="11" width="7.5" style="1" bestFit="1" customWidth="1"/>
    <col min="12" max="13" width="10.5" style="1" bestFit="1" customWidth="1"/>
    <col min="14" max="14" width="7.5" style="1" bestFit="1" customWidth="1"/>
    <col min="15" max="15" width="11.625" style="1" bestFit="1" customWidth="1"/>
    <col min="16" max="16" width="9.5" style="1" bestFit="1" customWidth="1"/>
    <col min="17" max="17" width="10.5" style="1" bestFit="1" customWidth="1"/>
    <col min="18" max="18" width="7.5" style="1" bestFit="1" customWidth="1"/>
    <col min="19" max="19" width="8.5" style="1" bestFit="1" customWidth="1"/>
    <col min="20" max="20" width="11.625" style="1" bestFit="1" customWidth="1"/>
    <col min="21" max="21" width="5.5" style="1" bestFit="1" customWidth="1"/>
    <col min="22" max="22" width="9.5" style="1" bestFit="1" customWidth="1"/>
    <col min="23" max="23" width="5.5" style="1" bestFit="1" customWidth="1"/>
    <col min="24" max="24" width="9.5" style="1" bestFit="1" customWidth="1"/>
    <col min="25" max="16384" width="9" style="1"/>
  </cols>
  <sheetData>
    <row r="1" spans="1:22" ht="14.25" thickBot="1">
      <c r="A1" s="73" t="s">
        <v>21</v>
      </c>
      <c r="B1" s="73"/>
      <c r="C1" s="73"/>
      <c r="D1" s="73"/>
      <c r="E1" s="19"/>
      <c r="F1" s="74" t="s">
        <v>38</v>
      </c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</row>
    <row r="2" spans="1:22">
      <c r="A2" s="13" t="s">
        <v>5</v>
      </c>
      <c r="B2" s="43" t="s">
        <v>13</v>
      </c>
      <c r="C2" s="43" t="s">
        <v>14</v>
      </c>
      <c r="D2" s="25" t="s">
        <v>20</v>
      </c>
      <c r="E2" s="14"/>
      <c r="F2" s="49"/>
      <c r="G2" s="50"/>
      <c r="H2" s="75" t="s">
        <v>35</v>
      </c>
      <c r="I2" s="75"/>
      <c r="J2" s="75"/>
      <c r="K2" s="75" t="s">
        <v>36</v>
      </c>
      <c r="L2" s="75"/>
      <c r="M2" s="75"/>
      <c r="N2" s="75" t="s">
        <v>37</v>
      </c>
      <c r="O2" s="75"/>
      <c r="P2" s="75"/>
      <c r="Q2" s="75"/>
      <c r="R2" s="51"/>
      <c r="S2" s="51"/>
      <c r="T2" s="52"/>
      <c r="U2" s="52"/>
      <c r="V2" s="53"/>
    </row>
    <row r="3" spans="1:22">
      <c r="A3" s="3" t="s">
        <v>8</v>
      </c>
      <c r="B3" s="6">
        <f>DSUM(前期!$A$1:$I$25,B$2,$A$12:$A$13)+DSUM(後期!$A$1:$I$25,B$2,$A$12:$A$13)</f>
        <v>1151</v>
      </c>
      <c r="C3" s="6">
        <f>DSUM(前期!$A$1:$I$25,C$2,$A$12:$A$13)+DSUM(後期!$A$1:$I$25,C$2,$A$12:$A$13)</f>
        <v>2422070</v>
      </c>
      <c r="D3" s="5">
        <f>DSUM(前期!$A$1:$I$25,D$2,$A$12:$A$13)+DSUM(後期!$A$1:$I$25,D$2,$A$12:$A$13)</f>
        <v>395159</v>
      </c>
      <c r="E3" s="15"/>
      <c r="F3" s="44" t="s">
        <v>10</v>
      </c>
      <c r="G3" s="45" t="s">
        <v>11</v>
      </c>
      <c r="H3" s="42" t="s">
        <v>13</v>
      </c>
      <c r="I3" s="42" t="s">
        <v>14</v>
      </c>
      <c r="J3" s="41" t="s">
        <v>20</v>
      </c>
      <c r="K3" s="42" t="s">
        <v>13</v>
      </c>
      <c r="L3" s="42" t="s">
        <v>14</v>
      </c>
      <c r="M3" s="41" t="s">
        <v>20</v>
      </c>
      <c r="N3" s="42" t="s">
        <v>13</v>
      </c>
      <c r="O3" s="42" t="s">
        <v>14</v>
      </c>
      <c r="P3" s="42" t="s">
        <v>22</v>
      </c>
      <c r="Q3" s="41" t="s">
        <v>20</v>
      </c>
      <c r="R3" s="46" t="s">
        <v>2</v>
      </c>
      <c r="S3" s="46" t="s">
        <v>25</v>
      </c>
      <c r="T3" s="47" t="s">
        <v>23</v>
      </c>
      <c r="U3" s="47" t="s">
        <v>17</v>
      </c>
      <c r="V3" s="48" t="s">
        <v>27</v>
      </c>
    </row>
    <row r="4" spans="1:22">
      <c r="A4" s="22" t="s">
        <v>7</v>
      </c>
      <c r="B4" s="6">
        <f>DSUM(前期!$A$1:$I$25,B$2,$B$12:$B$13)+DSUM(後期!$A$1:$I$25,B$2,$B$12:$B$13)</f>
        <v>1071</v>
      </c>
      <c r="C4" s="6">
        <f>DSUM(前期!$A$1:$I$25,C$2,$B$12:$B$13)+DSUM(後期!$A$1:$I$25,C$2,$B$12:$B$13)</f>
        <v>3124280</v>
      </c>
      <c r="D4" s="5">
        <f>DSUM(前期!$A$1:$I$25,D$2,$B$12:$B$13)+DSUM(後期!$A$1:$I$25,D$2,$B$12:$B$13)</f>
        <v>469271</v>
      </c>
      <c r="E4" s="15"/>
      <c r="F4" s="3">
        <v>102</v>
      </c>
      <c r="G4" s="4" t="str">
        <f>VLOOKUP(F4,テーブル!$E$3:$H$6,2,0)</f>
        <v>ＡＳＡＤＡ</v>
      </c>
      <c r="H4" s="6">
        <f ca="1">DSUM(INDIRECT($H$2&amp;"!$A$1:$I$25"),H$3,$G$11:$G$12)</f>
        <v>651</v>
      </c>
      <c r="I4" s="6">
        <f t="shared" ref="I4:J4" ca="1" si="0">DSUM(INDIRECT($H$2&amp;"!$A$1:$I$25"),I$3,$G$11:$G$12)</f>
        <v>1641090</v>
      </c>
      <c r="J4" s="6">
        <f t="shared" ca="1" si="0"/>
        <v>276779</v>
      </c>
      <c r="K4" s="6">
        <f ca="1">DSUM(INDIRECT($K$2&amp;"!$A$1:$I$25"),K$3,$G$11:$G$12)</f>
        <v>894</v>
      </c>
      <c r="L4" s="6">
        <f t="shared" ref="L4:M4" ca="1" si="1">DSUM(INDIRECT($K$2&amp;"!$A$1:$I$25"),L$3,$G$11:$G$12)</f>
        <v>2200560</v>
      </c>
      <c r="M4" s="6">
        <f t="shared" ca="1" si="1"/>
        <v>336505</v>
      </c>
      <c r="N4" s="6">
        <f t="shared" ref="N4:O7" ca="1" si="2">H4+K4</f>
        <v>1545</v>
      </c>
      <c r="O4" s="6">
        <f t="shared" ca="1" si="2"/>
        <v>3841650</v>
      </c>
      <c r="P4" s="6">
        <f ca="1">ROUNDUP(O4/N4,0)</f>
        <v>2487</v>
      </c>
      <c r="Q4" s="6">
        <f ca="1">J4+M4</f>
        <v>613284</v>
      </c>
      <c r="R4" s="26">
        <f ca="1">ROUNDDOWN(Q4/VLOOKUP(F4,テーブル!$E$3:$H$6,4,0),3)</f>
        <v>0.96899999999999997</v>
      </c>
      <c r="S4" s="6">
        <f ca="1">ROUND(O4*VLOOKUP(F4,テーブル!$E$3:$H$6,3,0),-1)</f>
        <v>130620</v>
      </c>
      <c r="T4" s="6">
        <f ca="1">O4-S4</f>
        <v>3711030</v>
      </c>
      <c r="U4" s="34" t="str">
        <f ca="1">IF(AND(N4&gt;=AVERAGE($N$4:$N$7),Q4&gt;=AVERAGE($Q$4:$Q$7)),"好調","")</f>
        <v/>
      </c>
      <c r="V4" s="28">
        <f ca="1">IF(R4&gt;=100%,VLOOKUP(F4,テーブル!$E$3:$H$6,3,0)+0.3%,VLOOKUP(F4,テーブル!$E$3:$H$6,3,0)-0.2%)</f>
        <v>3.2000000000000001E-2</v>
      </c>
    </row>
    <row r="5" spans="1:22">
      <c r="A5" s="22" t="s">
        <v>12</v>
      </c>
      <c r="B5" s="6">
        <f>DSUM(前期!$A$1:$I$25,B$2,$C$12:$C$13)+DSUM(後期!$A$1:$I$25,B$2,$C$12:$C$13)</f>
        <v>1372</v>
      </c>
      <c r="C5" s="6">
        <f>DSUM(前期!$A$1:$I$25,C$2,$C$12:$C$13)+DSUM(後期!$A$1:$I$25,C$2,$C$12:$C$13)</f>
        <v>3178400</v>
      </c>
      <c r="D5" s="5">
        <f>DSUM(前期!$A$1:$I$25,D$2,$C$12:$C$13)+DSUM(後期!$A$1:$I$25,D$2,$C$12:$C$13)</f>
        <v>498884</v>
      </c>
      <c r="E5" s="15"/>
      <c r="F5" s="3">
        <v>101</v>
      </c>
      <c r="G5" s="4" t="str">
        <f>VLOOKUP(F5,テーブル!$E$3:$H$6,2,0)</f>
        <v>秋山衣料店</v>
      </c>
      <c r="H5" s="6">
        <f ca="1">DSUM(INDIRECT($H$2&amp;"!$A$1:$I$25"),H$3,$F$11:$F$12)</f>
        <v>848</v>
      </c>
      <c r="I5" s="6">
        <f t="shared" ref="I5:J5" ca="1" si="3">DSUM(INDIRECT($H$2&amp;"!$A$1:$I$25"),I$3,$F$11:$F$12)</f>
        <v>2060260</v>
      </c>
      <c r="J5" s="6">
        <f t="shared" ca="1" si="3"/>
        <v>318101</v>
      </c>
      <c r="K5" s="6">
        <f ca="1">DSUM(INDIRECT($K$2&amp;"!$A$1:$I$25"),K$3,$F$11:$F$12)</f>
        <v>867</v>
      </c>
      <c r="L5" s="6">
        <f t="shared" ref="L5:M5" ca="1" si="4">DSUM(INDIRECT($K$2&amp;"!$A$1:$I$25"),L$3,$F$11:$F$12)</f>
        <v>2142910</v>
      </c>
      <c r="M5" s="6">
        <f t="shared" ca="1" si="4"/>
        <v>336362</v>
      </c>
      <c r="N5" s="6">
        <f t="shared" ca="1" si="2"/>
        <v>1715</v>
      </c>
      <c r="O5" s="6">
        <f t="shared" ca="1" si="2"/>
        <v>4203170</v>
      </c>
      <c r="P5" s="6">
        <f ca="1">ROUNDUP(O5/N5,0)</f>
        <v>2451</v>
      </c>
      <c r="Q5" s="6">
        <f ca="1">J5+M5</f>
        <v>654463</v>
      </c>
      <c r="R5" s="26">
        <f ca="1">ROUNDDOWN(Q5/VLOOKUP(F5,テーブル!$E$3:$H$6,4,0),3)</f>
        <v>1.0820000000000001</v>
      </c>
      <c r="S5" s="6">
        <f ca="1">ROUND(O5*VLOOKUP(F5,テーブル!$E$3:$H$6,3,0),-1)</f>
        <v>155520</v>
      </c>
      <c r="T5" s="6">
        <f ca="1">O5-S5</f>
        <v>4047650</v>
      </c>
      <c r="U5" s="34" t="str">
        <f ca="1">IF(AND(N5&gt;=AVERAGE($N$4:$N$7),Q5&gt;=AVERAGE($Q$4:$Q$7)),"好調","")</f>
        <v/>
      </c>
      <c r="V5" s="28">
        <f ca="1">IF(R5&gt;=100%,VLOOKUP(F5,テーブル!$E$3:$H$6,3,0)+0.3%,VLOOKUP(F5,テーブル!$E$3:$H$6,3,0)-0.2%)</f>
        <v>0.04</v>
      </c>
    </row>
    <row r="6" spans="1:22">
      <c r="A6" s="22" t="s">
        <v>28</v>
      </c>
      <c r="B6" s="6">
        <f>DSUM(前期!$A$1:$I$25,B$2,$A$14:$A$15)+DSUM(後期!$A$1:$I$25,B$2,$A$14:$A$15)</f>
        <v>1084</v>
      </c>
      <c r="C6" s="6">
        <f>DSUM(前期!$A$1:$I$25,C$2,$A$14:$A$15)+DSUM(後期!$A$1:$I$25,C$2,$A$14:$A$15)</f>
        <v>2987400</v>
      </c>
      <c r="D6" s="5">
        <f>DSUM(前期!$A$1:$I$25,D$2,$A$14:$A$15)+DSUM(後期!$A$1:$I$25,D$2,$A$14:$A$15)</f>
        <v>485528</v>
      </c>
      <c r="E6" s="15"/>
      <c r="F6" s="3">
        <v>104</v>
      </c>
      <c r="G6" s="4" t="str">
        <f>VLOOKUP(F6,テーブル!$E$3:$H$6,2,0)</f>
        <v>サンヨウ堂</v>
      </c>
      <c r="H6" s="6">
        <f ca="1">DSUM(INDIRECT($H$2&amp;"!$A$1:$I$25"),H$3,$I$11:$I$12)</f>
        <v>884</v>
      </c>
      <c r="I6" s="6">
        <f t="shared" ref="I6:J6" ca="1" si="5">DSUM(INDIRECT($H$2&amp;"!$A$1:$I$25"),I$3,$I$11:$I$12)</f>
        <v>2146330</v>
      </c>
      <c r="J6" s="6">
        <f t="shared" ca="1" si="5"/>
        <v>347439</v>
      </c>
      <c r="K6" s="6">
        <f ca="1">DSUM(INDIRECT($K$2&amp;"!$A$1:$I$25"),K$3,$I$11:$I$12)</f>
        <v>889</v>
      </c>
      <c r="L6" s="6">
        <f t="shared" ref="L6:M6" ca="1" si="6">DSUM(INDIRECT($K$2&amp;"!$A$1:$I$25"),L$3,$I$11:$I$12)</f>
        <v>2123770</v>
      </c>
      <c r="M6" s="6">
        <f t="shared" ca="1" si="6"/>
        <v>339054</v>
      </c>
      <c r="N6" s="6">
        <f t="shared" ca="1" si="2"/>
        <v>1773</v>
      </c>
      <c r="O6" s="6">
        <f t="shared" ca="1" si="2"/>
        <v>4270100</v>
      </c>
      <c r="P6" s="6">
        <f ca="1">ROUNDUP(O6/N6,0)</f>
        <v>2409</v>
      </c>
      <c r="Q6" s="6">
        <f ca="1">J6+M6</f>
        <v>686493</v>
      </c>
      <c r="R6" s="26">
        <f ca="1">ROUNDDOWN(Q6/VLOOKUP(F6,テーブル!$E$3:$H$6,4,0),3)</f>
        <v>0.94099999999999995</v>
      </c>
      <c r="S6" s="6">
        <f ca="1">ROUND(O6*VLOOKUP(F6,テーブル!$E$3:$H$6,3,0),-1)</f>
        <v>166530</v>
      </c>
      <c r="T6" s="6">
        <f ca="1">O6-S6</f>
        <v>4103570</v>
      </c>
      <c r="U6" s="34" t="str">
        <f ca="1">IF(AND(N6&gt;=AVERAGE($N$4:$N$7),Q6&gt;=AVERAGE($Q$4:$Q$7)),"好調","")</f>
        <v>好調</v>
      </c>
      <c r="V6" s="28">
        <f ca="1">IF(R6&gt;=100%,VLOOKUP(F6,テーブル!$E$3:$H$6,3,0)+0.3%,VLOOKUP(F6,テーブル!$E$3:$H$6,3,0)-0.2%)</f>
        <v>3.6999999999999998E-2</v>
      </c>
    </row>
    <row r="7" spans="1:22">
      <c r="A7" s="22" t="s">
        <v>29</v>
      </c>
      <c r="B7" s="6">
        <f>DSUM(前期!$A$1:$I$25,B$2,$B$14:$B$15)+DSUM(後期!$A$1:$I$25,B$2,$B$14:$B$15)</f>
        <v>1148</v>
      </c>
      <c r="C7" s="6">
        <f>DSUM(前期!$A$1:$I$25,C$2,$B$14:$B$15)+DSUM(後期!$A$1:$I$25,C$2,$B$14:$B$15)</f>
        <v>2540820</v>
      </c>
      <c r="D7" s="5">
        <f>DSUM(前期!$A$1:$I$25,D$2,$B$14:$B$15)+DSUM(後期!$A$1:$I$25,D$2,$B$14:$B$15)</f>
        <v>400948</v>
      </c>
      <c r="F7" s="3">
        <v>103</v>
      </c>
      <c r="G7" s="4" t="str">
        <f>VLOOKUP(F7,テーブル!$E$3:$H$6,2,0)</f>
        <v>洋服の鈴木</v>
      </c>
      <c r="H7" s="6">
        <f ca="1">DSUM(INDIRECT($H$2&amp;"!$A$1:$I$25"),H$3,$H$11:$H$12)</f>
        <v>1013</v>
      </c>
      <c r="I7" s="6">
        <f t="shared" ref="I7:J7" ca="1" si="7">DSUM(INDIRECT($H$2&amp;"!$A$1:$I$25"),I$3,$H$11:$H$12)</f>
        <v>2486930</v>
      </c>
      <c r="J7" s="6">
        <f t="shared" ca="1" si="7"/>
        <v>376619</v>
      </c>
      <c r="K7" s="6">
        <f ca="1">DSUM(INDIRECT($K$2&amp;"!$A$1:$I$25"),K$3,$H$11:$H$12)</f>
        <v>798</v>
      </c>
      <c r="L7" s="6">
        <f t="shared" ref="L7:M7" ca="1" si="8">DSUM(INDIRECT($K$2&amp;"!$A$1:$I$25"),L$3,$H$11:$H$12)</f>
        <v>1984010</v>
      </c>
      <c r="M7" s="6">
        <f t="shared" ca="1" si="8"/>
        <v>308931</v>
      </c>
      <c r="N7" s="6">
        <f t="shared" ca="1" si="2"/>
        <v>1811</v>
      </c>
      <c r="O7" s="6">
        <f t="shared" ca="1" si="2"/>
        <v>4470940</v>
      </c>
      <c r="P7" s="6">
        <f ca="1">ROUNDUP(O7/N7,0)</f>
        <v>2469</v>
      </c>
      <c r="Q7" s="6">
        <f ca="1">J7+M7</f>
        <v>685550</v>
      </c>
      <c r="R7" s="26">
        <f ca="1">ROUNDDOWN(Q7/VLOOKUP(F7,テーブル!$E$3:$H$6,4,0),3)</f>
        <v>1</v>
      </c>
      <c r="S7" s="6">
        <f ca="1">ROUND(O7*VLOOKUP(F7,テーブル!$E$3:$H$6,3,0),-1)</f>
        <v>143070</v>
      </c>
      <c r="T7" s="6">
        <f ca="1">O7-S7</f>
        <v>4327870</v>
      </c>
      <c r="U7" s="34" t="str">
        <f ca="1">IF(AND(N7&gt;=AVERAGE($N$4:$N$7),Q7&gt;=AVERAGE($Q$4:$Q$7)),"好調","")</f>
        <v>好調</v>
      </c>
      <c r="V7" s="28">
        <f ca="1">IF(R7&gt;=100%,VLOOKUP(F7,テーブル!$E$3:$H$6,3,0)+0.3%,VLOOKUP(F7,テーブル!$E$3:$H$6,3,0)-0.2%)</f>
        <v>3.5000000000000003E-2</v>
      </c>
    </row>
    <row r="8" spans="1:22">
      <c r="A8" s="22" t="s">
        <v>30</v>
      </c>
      <c r="B8" s="6">
        <f>DSUM(前期!$A$1:$I$25,B$2,$C$14:$C$15)+DSUM(後期!$A$1:$I$25,B$2,$C$14:$C$15)</f>
        <v>1018</v>
      </c>
      <c r="C8" s="6">
        <f>DSUM(前期!$A$1:$I$25,C$2,$C$14:$C$15)+DSUM(後期!$A$1:$I$25,C$2,$C$14:$C$15)</f>
        <v>2532890</v>
      </c>
      <c r="D8" s="5">
        <f>DSUM(前期!$A$1:$I$25,D$2,$C$14:$C$15)+DSUM(後期!$A$1:$I$25,D$2,$C$14:$C$15)</f>
        <v>390000</v>
      </c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7"/>
    </row>
    <row r="9" spans="1:22" ht="14.25" thickBot="1">
      <c r="A9" s="3"/>
      <c r="B9" s="4"/>
      <c r="C9" s="4"/>
      <c r="D9" s="7"/>
      <c r="F9" s="8"/>
      <c r="G9" s="10" t="s">
        <v>0</v>
      </c>
      <c r="H9" s="11">
        <f t="shared" ref="H9:O9" ca="1" si="9">SUM(H4:H7)</f>
        <v>3396</v>
      </c>
      <c r="I9" s="11">
        <f t="shared" ca="1" si="9"/>
        <v>8334610</v>
      </c>
      <c r="J9" s="11">
        <f t="shared" ca="1" si="9"/>
        <v>1318938</v>
      </c>
      <c r="K9" s="11">
        <f t="shared" ca="1" si="9"/>
        <v>3448</v>
      </c>
      <c r="L9" s="11">
        <f t="shared" ca="1" si="9"/>
        <v>8451250</v>
      </c>
      <c r="M9" s="11">
        <f t="shared" ca="1" si="9"/>
        <v>1320852</v>
      </c>
      <c r="N9" s="11">
        <f t="shared" ca="1" si="9"/>
        <v>6844</v>
      </c>
      <c r="O9" s="11">
        <f t="shared" ca="1" si="9"/>
        <v>16785860</v>
      </c>
      <c r="P9" s="11"/>
      <c r="Q9" s="11">
        <f ca="1">SUM(Q4:Q7)</f>
        <v>2639790</v>
      </c>
      <c r="R9" s="11"/>
      <c r="S9" s="11">
        <f ca="1">SUM(S4:S7)</f>
        <v>595740</v>
      </c>
      <c r="T9" s="11">
        <f ca="1">SUM(T4:T7)</f>
        <v>16190120</v>
      </c>
      <c r="U9" s="11"/>
      <c r="V9" s="9"/>
    </row>
    <row r="10" spans="1:22" ht="14.25" thickBot="1">
      <c r="A10" s="37" t="s">
        <v>0</v>
      </c>
      <c r="B10" s="11">
        <f>SUM(B3:B8)</f>
        <v>6844</v>
      </c>
      <c r="C10" s="11">
        <f t="shared" ref="C10:D10" si="10">SUM(C3:C8)</f>
        <v>16785860</v>
      </c>
      <c r="D10" s="38">
        <f t="shared" si="10"/>
        <v>2639790</v>
      </c>
      <c r="H10" s="21"/>
      <c r="I10" s="21"/>
      <c r="J10" s="21"/>
      <c r="K10" s="21"/>
      <c r="L10" s="21"/>
    </row>
    <row r="11" spans="1:22" ht="14.25" thickBot="1">
      <c r="F11" s="20" t="s">
        <v>10</v>
      </c>
      <c r="G11" s="20" t="s">
        <v>10</v>
      </c>
      <c r="H11" s="20" t="s">
        <v>10</v>
      </c>
      <c r="I11" s="20" t="s">
        <v>10</v>
      </c>
      <c r="J11" s="21"/>
      <c r="K11" s="21"/>
      <c r="M11" s="21"/>
    </row>
    <row r="12" spans="1:22" ht="14.25" thickBot="1">
      <c r="A12" s="20" t="s">
        <v>5</v>
      </c>
      <c r="B12" s="20" t="s">
        <v>5</v>
      </c>
      <c r="C12" s="20" t="s">
        <v>5</v>
      </c>
      <c r="F12" s="12">
        <v>101</v>
      </c>
      <c r="G12" s="12">
        <v>102</v>
      </c>
      <c r="H12" s="12">
        <v>103</v>
      </c>
      <c r="I12" s="12">
        <v>104</v>
      </c>
      <c r="K12" s="24"/>
      <c r="L12" s="27"/>
    </row>
    <row r="13" spans="1:22" ht="14.25" thickBot="1">
      <c r="A13" s="12" t="s">
        <v>8</v>
      </c>
      <c r="B13" s="23" t="s">
        <v>7</v>
      </c>
      <c r="C13" s="23" t="s">
        <v>12</v>
      </c>
    </row>
    <row r="14" spans="1:22">
      <c r="A14" s="20" t="s">
        <v>5</v>
      </c>
      <c r="B14" s="20" t="s">
        <v>5</v>
      </c>
      <c r="C14" s="20" t="s">
        <v>5</v>
      </c>
    </row>
    <row r="15" spans="1:22" ht="14.25" thickBot="1">
      <c r="A15" s="39" t="s">
        <v>28</v>
      </c>
      <c r="B15" s="23" t="s">
        <v>29</v>
      </c>
      <c r="C15" s="23" t="s">
        <v>30</v>
      </c>
    </row>
  </sheetData>
  <sortState xmlns:xlrd2="http://schemas.microsoft.com/office/spreadsheetml/2017/richdata2" ref="F4:V7">
    <sortCondition ref="T4:T7"/>
  </sortState>
  <mergeCells count="5">
    <mergeCell ref="A1:D1"/>
    <mergeCell ref="F1:V1"/>
    <mergeCell ref="H2:J2"/>
    <mergeCell ref="K2:M2"/>
    <mergeCell ref="N2:Q2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前期</vt:lpstr>
      <vt:lpstr>後期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Printed>2016-01-05T05:50:06Z</cp:lastPrinted>
  <dcterms:created xsi:type="dcterms:W3CDTF">2012-06-19T05:36:06Z</dcterms:created>
  <dcterms:modified xsi:type="dcterms:W3CDTF">2021-01-18T04:36:01Z</dcterms:modified>
</cp:coreProperties>
</file>