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2_問題集\2021(令和03)年度\1表計算\3_SP初段\模範解答\sps-A\"/>
    </mc:Choice>
  </mc:AlternateContent>
  <xr:revisionPtr revIDLastSave="0" documentId="13_ncr:1_{C9600AF4-56B8-48B1-977B-00DBFF38C91E}" xr6:coauthVersionLast="46" xr6:coauthVersionMax="46" xr10:uidLastSave="{00000000-0000-0000-0000-000000000000}"/>
  <bookViews>
    <workbookView xWindow="-120" yWindow="-120" windowWidth="29040" windowHeight="15840" xr2:uid="{86E23B2F-6F5F-4B2C-B978-EE4A60B535BE}"/>
  </bookViews>
  <sheets>
    <sheet name="テーブル" sheetId="1" r:id="rId1"/>
    <sheet name="料金データ表" sheetId="5" r:id="rId2"/>
    <sheet name="計算表" sheetId="6" r:id="rId3"/>
  </sheets>
  <definedNames>
    <definedName name="_xlnm._FilterDatabase" localSheetId="1" hidden="1">料金データ表!$A$1:$K$17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6" l="1"/>
  <c r="B5" i="6"/>
  <c r="B6" i="6"/>
  <c r="B3" i="6"/>
  <c r="V11" i="6"/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2" i="5"/>
  <c r="H18" i="5"/>
  <c r="I18" i="5" s="1"/>
  <c r="J18" i="5" s="1"/>
  <c r="H19" i="5"/>
  <c r="I19" i="5" s="1"/>
  <c r="J19" i="5" s="1"/>
  <c r="H20" i="5"/>
  <c r="I20" i="5" s="1"/>
  <c r="J20" i="5" s="1"/>
  <c r="H21" i="5"/>
  <c r="I21" i="5" s="1"/>
  <c r="J21" i="5" s="1"/>
  <c r="H22" i="5"/>
  <c r="I22" i="5" s="1"/>
  <c r="J22" i="5" s="1"/>
  <c r="H23" i="5"/>
  <c r="I23" i="5" s="1"/>
  <c r="J23" i="5" s="1"/>
  <c r="H24" i="5"/>
  <c r="I24" i="5" s="1"/>
  <c r="J24" i="5" s="1"/>
  <c r="H25" i="5"/>
  <c r="I25" i="5" s="1"/>
  <c r="J25" i="5" s="1"/>
  <c r="H26" i="5"/>
  <c r="I26" i="5" s="1"/>
  <c r="J26" i="5" s="1"/>
  <c r="H27" i="5"/>
  <c r="I27" i="5" s="1"/>
  <c r="J27" i="5" s="1"/>
  <c r="H28" i="5"/>
  <c r="I28" i="5" s="1"/>
  <c r="J28" i="5" s="1"/>
  <c r="H29" i="5"/>
  <c r="I29" i="5" s="1"/>
  <c r="J29" i="5" s="1"/>
  <c r="H30" i="5"/>
  <c r="I30" i="5" s="1"/>
  <c r="J30" i="5" s="1"/>
  <c r="H31" i="5"/>
  <c r="I31" i="5" s="1"/>
  <c r="J31" i="5" s="1"/>
  <c r="H32" i="5"/>
  <c r="I32" i="5" s="1"/>
  <c r="J32" i="5" s="1"/>
  <c r="H33" i="5"/>
  <c r="I33" i="5" s="1"/>
  <c r="J33" i="5" s="1"/>
  <c r="H34" i="5"/>
  <c r="I34" i="5" s="1"/>
  <c r="J34" i="5" s="1"/>
  <c r="H35" i="5"/>
  <c r="I35" i="5" s="1"/>
  <c r="J35" i="5" s="1"/>
  <c r="H36" i="5"/>
  <c r="I36" i="5" s="1"/>
  <c r="J36" i="5" s="1"/>
  <c r="H37" i="5"/>
  <c r="I37" i="5" s="1"/>
  <c r="J37" i="5" s="1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Q4" i="6" l="1"/>
  <c r="Q5" i="6"/>
  <c r="K34" i="5"/>
  <c r="K30" i="5"/>
  <c r="K18" i="5"/>
  <c r="K37" i="5"/>
  <c r="K29" i="5"/>
  <c r="K21" i="5"/>
  <c r="K36" i="5"/>
  <c r="K32" i="5"/>
  <c r="K28" i="5"/>
  <c r="K24" i="5"/>
  <c r="K20" i="5"/>
  <c r="K26" i="5"/>
  <c r="K22" i="5"/>
  <c r="K33" i="5"/>
  <c r="K25" i="5"/>
  <c r="K35" i="5"/>
  <c r="K31" i="5"/>
  <c r="K27" i="5"/>
  <c r="K23" i="5"/>
  <c r="K19" i="5"/>
  <c r="C3" i="5"/>
  <c r="C4" i="5"/>
  <c r="C5" i="5"/>
  <c r="C6" i="5"/>
  <c r="C7" i="5"/>
  <c r="C8" i="5"/>
  <c r="C9" i="5"/>
  <c r="C10" i="5"/>
  <c r="C11" i="5"/>
  <c r="C12" i="5"/>
  <c r="V4" i="6" s="1"/>
  <c r="C13" i="5"/>
  <c r="C14" i="5"/>
  <c r="C15" i="5"/>
  <c r="C16" i="5"/>
  <c r="C17" i="5"/>
  <c r="C2" i="5"/>
  <c r="H17" i="5" l="1"/>
  <c r="I17" i="5" s="1"/>
  <c r="H16" i="5"/>
  <c r="R5" i="6" s="1"/>
  <c r="H15" i="5"/>
  <c r="I15" i="5" s="1"/>
  <c r="H14" i="5"/>
  <c r="I14" i="5" s="1"/>
  <c r="H13" i="5"/>
  <c r="I13" i="5" s="1"/>
  <c r="H12" i="5"/>
  <c r="S4" i="6" s="1"/>
  <c r="H11" i="5"/>
  <c r="I11" i="5" s="1"/>
  <c r="H10" i="5"/>
  <c r="R3" i="6" s="1"/>
  <c r="H9" i="5"/>
  <c r="R4" i="6" s="1"/>
  <c r="H8" i="5"/>
  <c r="Q6" i="6" s="1"/>
  <c r="H7" i="5"/>
  <c r="I7" i="5" s="1"/>
  <c r="H6" i="5"/>
  <c r="S5" i="6" s="1"/>
  <c r="H5" i="5"/>
  <c r="H4" i="5"/>
  <c r="S6" i="6" s="1"/>
  <c r="H3" i="5"/>
  <c r="R6" i="6" s="1"/>
  <c r="H2" i="5"/>
  <c r="Q3" i="6" s="1"/>
  <c r="S3" i="6" l="1"/>
  <c r="I2" i="5"/>
  <c r="H39" i="5"/>
  <c r="I6" i="5"/>
  <c r="I10" i="5"/>
  <c r="J14" i="5"/>
  <c r="K14" i="5"/>
  <c r="I3" i="5"/>
  <c r="J7" i="5"/>
  <c r="K7" i="5"/>
  <c r="J11" i="5"/>
  <c r="K11" i="5"/>
  <c r="J15" i="5"/>
  <c r="K15" i="5"/>
  <c r="I4" i="5"/>
  <c r="I8" i="5"/>
  <c r="I12" i="5"/>
  <c r="I16" i="5"/>
  <c r="I5" i="5"/>
  <c r="I9" i="5"/>
  <c r="J13" i="5"/>
  <c r="K13" i="5"/>
  <c r="J17" i="5"/>
  <c r="K17" i="5"/>
  <c r="C4" i="6" l="1"/>
  <c r="J5" i="5"/>
  <c r="K5" i="5"/>
  <c r="I39" i="5"/>
  <c r="C6" i="6"/>
  <c r="J2" i="5"/>
  <c r="J3" i="6"/>
  <c r="K2" i="5"/>
  <c r="J12" i="5"/>
  <c r="K12" i="5"/>
  <c r="J4" i="5"/>
  <c r="C3" i="6"/>
  <c r="K4" i="5"/>
  <c r="C5" i="6"/>
  <c r="J3" i="5"/>
  <c r="K3" i="5"/>
  <c r="M3" i="6"/>
  <c r="J10" i="5"/>
  <c r="K10" i="5"/>
  <c r="J9" i="5"/>
  <c r="K4" i="6" s="1"/>
  <c r="K3" i="6"/>
  <c r="K9" i="5"/>
  <c r="K5" i="6" s="1"/>
  <c r="J16" i="5"/>
  <c r="K16" i="5"/>
  <c r="J8" i="5"/>
  <c r="K8" i="5"/>
  <c r="J6" i="5"/>
  <c r="L4" i="6" s="1"/>
  <c r="K6" i="5"/>
  <c r="L5" i="6" s="1"/>
  <c r="L3" i="6"/>
  <c r="V2" i="6"/>
  <c r="D3" i="6" l="1"/>
  <c r="E4" i="6"/>
  <c r="N3" i="6"/>
  <c r="C8" i="6"/>
  <c r="K39" i="5"/>
  <c r="E6" i="6"/>
  <c r="J5" i="6"/>
  <c r="E5" i="6"/>
  <c r="M5" i="6"/>
  <c r="D5" i="6"/>
  <c r="M4" i="6"/>
  <c r="J39" i="5"/>
  <c r="D6" i="6"/>
  <c r="V3" i="6"/>
  <c r="J4" i="6"/>
  <c r="D4" i="6"/>
  <c r="F4" i="6" s="1"/>
  <c r="G4" i="6" s="1"/>
  <c r="E3" i="6"/>
  <c r="E8" i="6" l="1"/>
  <c r="D8" i="6"/>
  <c r="F6" i="6"/>
  <c r="N4" i="6"/>
  <c r="F5" i="6"/>
  <c r="G5" i="6" s="1"/>
  <c r="N5" i="6"/>
  <c r="F3" i="6"/>
  <c r="G3" i="6" s="1"/>
  <c r="G6" i="6"/>
  <c r="F8" i="6"/>
  <c r="G8" i="6" l="1"/>
</calcChain>
</file>

<file path=xl/sharedStrings.xml><?xml version="1.0" encoding="utf-8"?>
<sst xmlns="http://schemas.openxmlformats.org/spreadsheetml/2006/main" count="186" uniqueCount="110">
  <si>
    <t>合　計</t>
  </si>
  <si>
    <t>割引額</t>
  </si>
  <si>
    <t>請求額</t>
  </si>
  <si>
    <t>車種別集計表</t>
  </si>
  <si>
    <t>貸出日</t>
  </si>
  <si>
    <t>会ＣＯ</t>
  </si>
  <si>
    <t>会員名</t>
  </si>
  <si>
    <t>車ＣＯ</t>
  </si>
  <si>
    <t>車種名</t>
  </si>
  <si>
    <t>出発</t>
  </si>
  <si>
    <t>帰着</t>
  </si>
  <si>
    <t>時間</t>
  </si>
  <si>
    <t>基本料金</t>
  </si>
  <si>
    <t>補償料</t>
  </si>
  <si>
    <t>＜会員テーブル＞</t>
  </si>
  <si>
    <t>マイル</t>
  </si>
  <si>
    <t>＜乗率テーブル＞</t>
  </si>
  <si>
    <t>乗用車</t>
  </si>
  <si>
    <t>エコカー</t>
  </si>
  <si>
    <t>ミニバン</t>
  </si>
  <si>
    <t>101Y</t>
  </si>
  <si>
    <t>ランク</t>
  </si>
  <si>
    <t>乗率</t>
  </si>
  <si>
    <t>102X</t>
  </si>
  <si>
    <t>201Z</t>
  </si>
  <si>
    <t>X</t>
  </si>
  <si>
    <t>202X</t>
  </si>
  <si>
    <t>Y</t>
  </si>
  <si>
    <t>Z</t>
  </si>
  <si>
    <t>乗用車*</t>
  </si>
  <si>
    <t>エコカー*</t>
  </si>
  <si>
    <t>ミニバン*</t>
  </si>
  <si>
    <t>＜車種表＞</t>
  </si>
  <si>
    <t>車種</t>
  </si>
  <si>
    <t>時間</t>
    <rPh sb="0" eb="2">
      <t>ジカン</t>
    </rPh>
    <phoneticPr fontId="1"/>
  </si>
  <si>
    <t>&gt;8</t>
    <phoneticPr fontId="1"/>
  </si>
  <si>
    <t>&lt;12</t>
    <phoneticPr fontId="1"/>
  </si>
  <si>
    <t>時間が8より多く12より少ない基本料金の合計</t>
    <rPh sb="0" eb="2">
      <t>ジカン</t>
    </rPh>
    <rPh sb="15" eb="17">
      <t>キホン</t>
    </rPh>
    <rPh sb="17" eb="19">
      <t>リョウキン</t>
    </rPh>
    <phoneticPr fontId="1"/>
  </si>
  <si>
    <t>会ＣＯ</t>
    <rPh sb="0" eb="1">
      <t>カイ</t>
    </rPh>
    <phoneticPr fontId="1"/>
  </si>
  <si>
    <t>&lt;&gt;102X</t>
    <phoneticPr fontId="1"/>
  </si>
  <si>
    <t>会ＣＯが102X以外で補償料が330円を超える件数</t>
    <rPh sb="0" eb="1">
      <t>カイ</t>
    </rPh>
    <rPh sb="11" eb="13">
      <t>ホショウ</t>
    </rPh>
    <rPh sb="13" eb="14">
      <t>リョウ</t>
    </rPh>
    <phoneticPr fontId="1"/>
  </si>
  <si>
    <t>帰着が一番遅い会員名</t>
    <rPh sb="0" eb="2">
      <t>キチャク</t>
    </rPh>
    <rPh sb="3" eb="5">
      <t>イチバン</t>
    </rPh>
    <rPh sb="5" eb="6">
      <t>オソ</t>
    </rPh>
    <rPh sb="7" eb="9">
      <t>カイイン</t>
    </rPh>
    <phoneticPr fontId="1"/>
  </si>
  <si>
    <t>新東海商事</t>
    <rPh sb="0" eb="1">
      <t>シン</t>
    </rPh>
    <rPh sb="1" eb="3">
      <t>トウカイ</t>
    </rPh>
    <rPh sb="3" eb="5">
      <t>ショウジ</t>
    </rPh>
    <phoneticPr fontId="1"/>
  </si>
  <si>
    <t>ＡＧＳ総業</t>
    <phoneticPr fontId="1"/>
  </si>
  <si>
    <t>マルイ産業</t>
    <rPh sb="3" eb="5">
      <t>サンギョウ</t>
    </rPh>
    <phoneticPr fontId="1"/>
  </si>
  <si>
    <t>光通信企画</t>
    <rPh sb="0" eb="1">
      <t>ヒカリ</t>
    </rPh>
    <rPh sb="1" eb="3">
      <t>ツウシン</t>
    </rPh>
    <rPh sb="3" eb="5">
      <t>キカク</t>
    </rPh>
    <phoneticPr fontId="1"/>
  </si>
  <si>
    <t>クラス</t>
    <phoneticPr fontId="1"/>
  </si>
  <si>
    <t>S</t>
    <phoneticPr fontId="1"/>
  </si>
  <si>
    <t>E</t>
    <phoneticPr fontId="1"/>
  </si>
  <si>
    <t>W</t>
    <phoneticPr fontId="1"/>
  </si>
  <si>
    <t>乗用車</t>
    <phoneticPr fontId="1"/>
  </si>
  <si>
    <t>a</t>
    <phoneticPr fontId="1"/>
  </si>
  <si>
    <t>b</t>
    <phoneticPr fontId="1"/>
  </si>
  <si>
    <t>c</t>
    <phoneticPr fontId="1"/>
  </si>
  <si>
    <t>コンパクト</t>
  </si>
  <si>
    <t>コンパクト</t>
    <phoneticPr fontId="1"/>
  </si>
  <si>
    <t>K</t>
    <phoneticPr fontId="1"/>
  </si>
  <si>
    <t>車種区分</t>
    <rPh sb="0" eb="2">
      <t>シャシュ</t>
    </rPh>
    <rPh sb="2" eb="4">
      <t>クブン</t>
    </rPh>
    <phoneticPr fontId="1"/>
  </si>
  <si>
    <t>Ka-21</t>
  </si>
  <si>
    <t>Kb-21</t>
  </si>
  <si>
    <t>Kc-21</t>
  </si>
  <si>
    <t>Sa-21</t>
  </si>
  <si>
    <t>Sb-21</t>
  </si>
  <si>
    <t>Sc-21</t>
  </si>
  <si>
    <t>Ea-21</t>
  </si>
  <si>
    <t>Eb-21</t>
  </si>
  <si>
    <t>Ec-21</t>
  </si>
  <si>
    <t>Wa-21</t>
  </si>
  <si>
    <t>Wb-21</t>
  </si>
  <si>
    <t>Wc-21</t>
  </si>
  <si>
    <t>Ka-20</t>
  </si>
  <si>
    <t>Kb-20</t>
  </si>
  <si>
    <t>Kc-20</t>
  </si>
  <si>
    <t>Sa-20</t>
  </si>
  <si>
    <t>Sb-20</t>
  </si>
  <si>
    <t>Sc-20</t>
  </si>
  <si>
    <t>Ea-20</t>
  </si>
  <si>
    <t>Eb-20</t>
  </si>
  <si>
    <t>Ec-20</t>
  </si>
  <si>
    <t>Wa-20</t>
  </si>
  <si>
    <t>Wb-20</t>
  </si>
  <si>
    <t>Wc-20</t>
  </si>
  <si>
    <t>Ka-19</t>
  </si>
  <si>
    <t>Kb-19</t>
  </si>
  <si>
    <t>Kc-19</t>
  </si>
  <si>
    <t>Sa-19</t>
  </si>
  <si>
    <t>Sb-19</t>
  </si>
  <si>
    <t>Sc-19</t>
  </si>
  <si>
    <t>Ea-19</t>
  </si>
  <si>
    <t>Eb-19</t>
  </si>
  <si>
    <t>Ec-19</t>
  </si>
  <si>
    <t>Wa-19</t>
  </si>
  <si>
    <t>Wb-19</t>
  </si>
  <si>
    <t>Wc-19</t>
  </si>
  <si>
    <t>1～6</t>
  </si>
  <si>
    <t>7～</t>
  </si>
  <si>
    <t>車種</t>
    <rPh sb="0" eb="2">
      <t>シャシュ</t>
    </rPh>
    <phoneticPr fontId="1"/>
  </si>
  <si>
    <t>コンパクト*</t>
    <phoneticPr fontId="1"/>
  </si>
  <si>
    <t>19年型</t>
    <rPh sb="2" eb="3">
      <t>ネン</t>
    </rPh>
    <rPh sb="3" eb="4">
      <t>ガタ</t>
    </rPh>
    <phoneticPr fontId="1"/>
  </si>
  <si>
    <t>20年型</t>
    <rPh sb="2" eb="3">
      <t>ネン</t>
    </rPh>
    <rPh sb="3" eb="4">
      <t>ガタ</t>
    </rPh>
    <phoneticPr fontId="1"/>
  </si>
  <si>
    <t>21年型</t>
    <rPh sb="2" eb="3">
      <t>ネン</t>
    </rPh>
    <rPh sb="3" eb="4">
      <t>ガタ</t>
    </rPh>
    <phoneticPr fontId="1"/>
  </si>
  <si>
    <t>車種別利用時間平均表</t>
    <rPh sb="0" eb="3">
      <t>シャシュベツ</t>
    </rPh>
    <rPh sb="3" eb="5">
      <t>リヨウ</t>
    </rPh>
    <rPh sb="5" eb="7">
      <t>ジカン</t>
    </rPh>
    <rPh sb="7" eb="9">
      <t>ヘイキン</t>
    </rPh>
    <rPh sb="9" eb="10">
      <t>ヒョウ</t>
    </rPh>
    <phoneticPr fontId="1"/>
  </si>
  <si>
    <t>車種
区分</t>
    <rPh sb="0" eb="2">
      <t>シャシュ</t>
    </rPh>
    <rPh sb="3" eb="5">
      <t>クブン</t>
    </rPh>
    <phoneticPr fontId="1"/>
  </si>
  <si>
    <t>補償
料率</t>
    <phoneticPr fontId="1"/>
  </si>
  <si>
    <t>割引率</t>
    <rPh sb="0" eb="3">
      <t>ワリビキリツ</t>
    </rPh>
    <phoneticPr fontId="1"/>
  </si>
  <si>
    <t>＜料金単価テーブル＞</t>
    <rPh sb="1" eb="3">
      <t>リョウキン</t>
    </rPh>
    <rPh sb="3" eb="5">
      <t>タンカ</t>
    </rPh>
    <phoneticPr fontId="1"/>
  </si>
  <si>
    <t>&gt;330</t>
    <phoneticPr fontId="1"/>
  </si>
  <si>
    <t>車種合計</t>
    <rPh sb="0" eb="2">
      <t>シャシュ</t>
    </rPh>
    <rPh sb="2" eb="3">
      <t>ゴウ</t>
    </rPh>
    <rPh sb="3" eb="4">
      <t>ケイ</t>
    </rPh>
    <phoneticPr fontId="1"/>
  </si>
  <si>
    <t>帰着</t>
    <phoneticPr fontId="1"/>
  </si>
  <si>
    <t>会員別請求額計算表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</si>
</sst>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h:mm;@"/>
    <numFmt numFmtId="178" formatCode="#,##0.0;[Red]\-#,##0.0"/>
  </numFmts>
  <fonts count="4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b/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2" xfId="0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9" xfId="0" applyBorder="1">
      <alignment vertical="center"/>
    </xf>
    <xf numFmtId="38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0" fillId="0" borderId="1" xfId="0" applyBorder="1" applyAlignment="1">
      <alignment vertical="center"/>
    </xf>
    <xf numFmtId="176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vertical="center"/>
    </xf>
    <xf numFmtId="9" fontId="0" fillId="0" borderId="1" xfId="0" applyNumberFormat="1" applyBorder="1">
      <alignment vertical="center"/>
    </xf>
    <xf numFmtId="38" fontId="0" fillId="0" borderId="0" xfId="1" applyFont="1" applyBorder="1">
      <alignment vertical="center"/>
    </xf>
    <xf numFmtId="3" fontId="0" fillId="0" borderId="1" xfId="1" applyNumberFormat="1" applyFont="1" applyBorder="1">
      <alignment vertical="center"/>
    </xf>
    <xf numFmtId="3" fontId="0" fillId="0" borderId="6" xfId="1" applyNumberFormat="1" applyFont="1" applyBorder="1">
      <alignment vertical="center"/>
    </xf>
    <xf numFmtId="3" fontId="0" fillId="0" borderId="9" xfId="1" applyNumberFormat="1" applyFont="1" applyBorder="1">
      <alignment vertical="center"/>
    </xf>
    <xf numFmtId="178" fontId="0" fillId="0" borderId="1" xfId="1" applyNumberFormat="1" applyFont="1" applyBorder="1">
      <alignment vertical="center"/>
    </xf>
    <xf numFmtId="178" fontId="0" fillId="0" borderId="6" xfId="1" applyNumberFormat="1" applyFont="1" applyBorder="1">
      <alignment vertical="center"/>
    </xf>
    <xf numFmtId="178" fontId="0" fillId="0" borderId="8" xfId="1" applyNumberFormat="1" applyFont="1" applyBorder="1">
      <alignment vertical="center"/>
    </xf>
    <xf numFmtId="178" fontId="0" fillId="0" borderId="9" xfId="1" applyNumberFormat="1" applyFont="1" applyBorder="1">
      <alignment vertical="center"/>
    </xf>
    <xf numFmtId="3" fontId="0" fillId="0" borderId="4" xfId="0" applyNumberFormat="1" applyBorder="1">
      <alignment vertical="center"/>
    </xf>
    <xf numFmtId="3" fontId="0" fillId="0" borderId="8" xfId="1" applyNumberFormat="1" applyFont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4" fontId="0" fillId="0" borderId="5" xfId="0" applyNumberFormat="1" applyFill="1" applyBorder="1">
      <alignment vertical="center"/>
    </xf>
    <xf numFmtId="0" fontId="0" fillId="0" borderId="1" xfId="0" applyFill="1" applyBorder="1">
      <alignment vertical="center"/>
    </xf>
    <xf numFmtId="177" fontId="0" fillId="0" borderId="1" xfId="0" applyNumberFormat="1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6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0" fontId="0" fillId="0" borderId="10" xfId="0" applyFill="1" applyBorder="1" applyAlignment="1">
      <alignment horizontal="center" vertical="center"/>
    </xf>
    <xf numFmtId="177" fontId="0" fillId="0" borderId="11" xfId="0" applyNumberFormat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6" xfId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100" b="0" i="0" u="none" strike="noStrike" baseline="0">
                <a:effectLst/>
              </a:rPr>
              <a:t>会員別の集計グラフ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計算表!$F$2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ysClr val="windowText" lastClr="000000">
                  <a:alpha val="94000"/>
                </a:sysClr>
              </a:solidFill>
            </a:ln>
            <a:effectLst/>
          </c:spPr>
          <c:invertIfNegative val="0"/>
          <c:cat>
            <c:strRef>
              <c:f>計算表!$B$3:$B$6</c:f>
              <c:strCache>
                <c:ptCount val="4"/>
                <c:pt idx="0">
                  <c:v>マルイ産業</c:v>
                </c:pt>
                <c:pt idx="1">
                  <c:v>光通信企画</c:v>
                </c:pt>
                <c:pt idx="2">
                  <c:v>ＡＧＳ総業</c:v>
                </c:pt>
                <c:pt idx="3">
                  <c:v>新東海商事</c:v>
                </c:pt>
              </c:strCache>
            </c:strRef>
          </c:cat>
          <c:val>
            <c:numRef>
              <c:f>計算表!$F$3:$F$6</c:f>
              <c:numCache>
                <c:formatCode>#,##0_);[Red]\(#,##0\)</c:formatCode>
                <c:ptCount val="4"/>
                <c:pt idx="0">
                  <c:v>82440</c:v>
                </c:pt>
                <c:pt idx="1">
                  <c:v>79131</c:v>
                </c:pt>
                <c:pt idx="2">
                  <c:v>72061</c:v>
                </c:pt>
                <c:pt idx="3">
                  <c:v>62932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7C-45AE-AAD7-5E733C36B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385352"/>
        <c:axId val="464387976"/>
      </c:barChart>
      <c:lineChart>
        <c:grouping val="standard"/>
        <c:varyColors val="0"/>
        <c:ser>
          <c:idx val="1"/>
          <c:order val="1"/>
          <c:tx>
            <c:strRef>
              <c:f>計算表!$G$2</c:f>
              <c:strCache>
                <c:ptCount val="1"/>
                <c:pt idx="0">
                  <c:v>マイル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計算表!$B$3:$B$6</c:f>
              <c:strCache>
                <c:ptCount val="4"/>
                <c:pt idx="0">
                  <c:v>マルイ産業</c:v>
                </c:pt>
                <c:pt idx="1">
                  <c:v>光通信企画</c:v>
                </c:pt>
                <c:pt idx="2">
                  <c:v>ＡＧＳ総業</c:v>
                </c:pt>
                <c:pt idx="3">
                  <c:v>新東海商事</c:v>
                </c:pt>
              </c:strCache>
            </c:strRef>
          </c:cat>
          <c:val>
            <c:numRef>
              <c:f>計算表!$G$3:$G$6</c:f>
              <c:numCache>
                <c:formatCode>#,##0_);[Red]\(#,##0\)</c:formatCode>
                <c:ptCount val="4"/>
                <c:pt idx="0">
                  <c:v>1237</c:v>
                </c:pt>
                <c:pt idx="1">
                  <c:v>1662</c:v>
                </c:pt>
                <c:pt idx="2">
                  <c:v>1514</c:v>
                </c:pt>
                <c:pt idx="3">
                  <c:v>1133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7C-45AE-AAD7-5E733C36B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336144"/>
        <c:axId val="478748680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478748680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76336144"/>
        <c:crosses val="max"/>
        <c:crossBetween val="between"/>
      </c:valAx>
      <c:catAx>
        <c:axId val="476336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8748680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12</xdr:row>
      <xdr:rowOff>85164</xdr:rowOff>
    </xdr:from>
    <xdr:to>
      <xdr:col>9</xdr:col>
      <xdr:colOff>257176</xdr:colOff>
      <xdr:row>26</xdr:row>
      <xdr:rowOff>33617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803451D-B644-4FA7-90E8-4E0BAA58E0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05546-BBE8-4BA7-993C-746B2311E22C}">
  <dimension ref="A1:Q8"/>
  <sheetViews>
    <sheetView tabSelected="1" zoomScaleNormal="100" workbookViewId="0"/>
  </sheetViews>
  <sheetFormatPr defaultRowHeight="13.5" x14ac:dyDescent="0.15"/>
  <cols>
    <col min="1" max="1" width="7.5" bestFit="1" customWidth="1"/>
    <col min="2" max="2" width="11.625" bestFit="1" customWidth="1"/>
    <col min="3" max="3" width="2.5" customWidth="1"/>
    <col min="4" max="4" width="5.5" bestFit="1" customWidth="1"/>
    <col min="5" max="5" width="11.625" bestFit="1" customWidth="1"/>
    <col min="6" max="7" width="5.5" bestFit="1" customWidth="1"/>
    <col min="8" max="8" width="4.5" bestFit="1" customWidth="1"/>
    <col min="9" max="9" width="2.5" customWidth="1"/>
    <col min="10" max="10" width="7.5" bestFit="1" customWidth="1"/>
    <col min="11" max="11" width="4.5" bestFit="1" customWidth="1"/>
    <col min="12" max="14" width="6.5" bestFit="1" customWidth="1"/>
    <col min="15" max="15" width="2.5" customWidth="1"/>
    <col min="16" max="16" width="7.5" bestFit="1" customWidth="1"/>
    <col min="17" max="17" width="5.5" bestFit="1" customWidth="1"/>
  </cols>
  <sheetData>
    <row r="1" spans="1:17" x14ac:dyDescent="0.15">
      <c r="A1" t="s">
        <v>14</v>
      </c>
      <c r="D1" t="s">
        <v>32</v>
      </c>
      <c r="J1" t="s">
        <v>105</v>
      </c>
      <c r="P1" t="s">
        <v>16</v>
      </c>
    </row>
    <row r="2" spans="1:17" x14ac:dyDescent="0.15">
      <c r="A2" s="1" t="s">
        <v>5</v>
      </c>
      <c r="B2" s="1" t="s">
        <v>6</v>
      </c>
      <c r="D2" s="58" t="s">
        <v>102</v>
      </c>
      <c r="E2" s="59" t="s">
        <v>33</v>
      </c>
      <c r="F2" s="58" t="s">
        <v>103</v>
      </c>
      <c r="G2" s="59" t="s">
        <v>104</v>
      </c>
      <c r="H2" s="59"/>
      <c r="J2" s="59" t="s">
        <v>46</v>
      </c>
      <c r="K2" s="59" t="s">
        <v>57</v>
      </c>
      <c r="L2" s="59"/>
      <c r="M2" s="59"/>
      <c r="N2" s="59"/>
      <c r="P2" s="1" t="s">
        <v>21</v>
      </c>
      <c r="Q2" s="1" t="s">
        <v>22</v>
      </c>
    </row>
    <row r="3" spans="1:17" ht="13.5" customHeight="1" x14ac:dyDescent="0.15">
      <c r="A3" s="2" t="s">
        <v>20</v>
      </c>
      <c r="B3" s="2" t="s">
        <v>42</v>
      </c>
      <c r="D3" s="58"/>
      <c r="E3" s="59"/>
      <c r="F3" s="59"/>
      <c r="G3" s="60" t="s">
        <v>11</v>
      </c>
      <c r="H3" s="60"/>
      <c r="J3" s="59"/>
      <c r="K3" s="2" t="s">
        <v>56</v>
      </c>
      <c r="L3" s="2" t="s">
        <v>47</v>
      </c>
      <c r="M3" s="2" t="s">
        <v>48</v>
      </c>
      <c r="N3" s="2" t="s">
        <v>49</v>
      </c>
      <c r="P3" s="2" t="s">
        <v>25</v>
      </c>
      <c r="Q3" s="18">
        <v>2.1000000000000001E-2</v>
      </c>
    </row>
    <row r="4" spans="1:17" x14ac:dyDescent="0.15">
      <c r="A4" s="2" t="s">
        <v>23</v>
      </c>
      <c r="B4" s="2" t="s">
        <v>43</v>
      </c>
      <c r="D4" s="58"/>
      <c r="E4" s="59"/>
      <c r="F4" s="59"/>
      <c r="G4" s="57" t="s">
        <v>94</v>
      </c>
      <c r="H4" s="57" t="s">
        <v>95</v>
      </c>
      <c r="J4" s="2" t="s">
        <v>51</v>
      </c>
      <c r="K4" s="23">
        <v>720</v>
      </c>
      <c r="L4" s="23">
        <v>850</v>
      </c>
      <c r="M4" s="23">
        <v>1200</v>
      </c>
      <c r="N4" s="23">
        <v>1260</v>
      </c>
      <c r="P4" s="2" t="s">
        <v>27</v>
      </c>
      <c r="Q4" s="18">
        <v>1.7999999999999999E-2</v>
      </c>
    </row>
    <row r="5" spans="1:17" x14ac:dyDescent="0.15">
      <c r="A5" s="2" t="s">
        <v>24</v>
      </c>
      <c r="B5" s="2" t="s">
        <v>44</v>
      </c>
      <c r="D5" s="24" t="s">
        <v>56</v>
      </c>
      <c r="E5" s="24" t="s">
        <v>55</v>
      </c>
      <c r="F5" s="25">
        <v>3.2000000000000001E-2</v>
      </c>
      <c r="G5" s="26">
        <v>0.02</v>
      </c>
      <c r="H5" s="26">
        <v>0.03</v>
      </c>
      <c r="J5" s="2" t="s">
        <v>52</v>
      </c>
      <c r="K5" s="23">
        <v>790</v>
      </c>
      <c r="L5" s="23">
        <v>940</v>
      </c>
      <c r="M5" s="23">
        <v>1310</v>
      </c>
      <c r="N5" s="23">
        <v>1390</v>
      </c>
      <c r="P5" s="2" t="s">
        <v>28</v>
      </c>
      <c r="Q5" s="18">
        <v>1.4999999999999999E-2</v>
      </c>
    </row>
    <row r="6" spans="1:17" x14ac:dyDescent="0.15">
      <c r="A6" s="2" t="s">
        <v>26</v>
      </c>
      <c r="B6" s="2" t="s">
        <v>45</v>
      </c>
      <c r="D6" s="2" t="s">
        <v>47</v>
      </c>
      <c r="E6" s="2" t="s">
        <v>50</v>
      </c>
      <c r="F6" s="4">
        <v>3.4000000000000002E-2</v>
      </c>
      <c r="G6" s="27">
        <v>0.04</v>
      </c>
      <c r="H6" s="27">
        <v>0.05</v>
      </c>
      <c r="J6" s="2" t="s">
        <v>53</v>
      </c>
      <c r="K6" s="23">
        <v>860</v>
      </c>
      <c r="L6" s="23">
        <v>1040</v>
      </c>
      <c r="M6" s="23">
        <v>1420</v>
      </c>
      <c r="N6" s="23">
        <v>1530</v>
      </c>
    </row>
    <row r="7" spans="1:17" x14ac:dyDescent="0.15">
      <c r="D7" s="2" t="s">
        <v>48</v>
      </c>
      <c r="E7" s="2" t="s">
        <v>18</v>
      </c>
      <c r="F7" s="25">
        <v>3.5999999999999997E-2</v>
      </c>
      <c r="G7" s="27">
        <v>0.06</v>
      </c>
      <c r="H7" s="27">
        <v>7.0000000000000007E-2</v>
      </c>
    </row>
    <row r="8" spans="1:17" x14ac:dyDescent="0.15">
      <c r="D8" s="2" t="s">
        <v>49</v>
      </c>
      <c r="E8" s="2" t="s">
        <v>19</v>
      </c>
      <c r="F8" s="4">
        <v>3.7999999999999999E-2</v>
      </c>
      <c r="G8" s="27">
        <v>0.08</v>
      </c>
      <c r="H8" s="27">
        <v>0.09</v>
      </c>
    </row>
  </sheetData>
  <mergeCells count="7">
    <mergeCell ref="D2:D4"/>
    <mergeCell ref="E2:E4"/>
    <mergeCell ref="F2:F4"/>
    <mergeCell ref="G2:H2"/>
    <mergeCell ref="K2:N2"/>
    <mergeCell ref="G3:H3"/>
    <mergeCell ref="J2:J3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E7A4A-950E-4062-8AD7-6A50F3CC59CF}">
  <dimension ref="A1:K41"/>
  <sheetViews>
    <sheetView zoomScaleNormal="100" workbookViewId="0"/>
  </sheetViews>
  <sheetFormatPr defaultRowHeight="13.5" x14ac:dyDescent="0.15"/>
  <cols>
    <col min="1" max="1" width="10.5" bestFit="1" customWidth="1"/>
    <col min="2" max="2" width="7.5" bestFit="1" customWidth="1"/>
    <col min="3" max="3" width="11.625" bestFit="1" customWidth="1"/>
    <col min="4" max="4" width="7.5" bestFit="1" customWidth="1"/>
    <col min="5" max="5" width="18.375" bestFit="1" customWidth="1"/>
    <col min="6" max="7" width="6.5" bestFit="1" customWidth="1"/>
    <col min="8" max="8" width="5.5" bestFit="1" customWidth="1"/>
    <col min="9" max="9" width="9.5" bestFit="1" customWidth="1"/>
    <col min="10" max="11" width="7.5" bestFit="1" customWidth="1"/>
  </cols>
  <sheetData>
    <row r="1" spans="1:11" x14ac:dyDescent="0.15">
      <c r="A1" s="38" t="s">
        <v>4</v>
      </c>
      <c r="B1" s="39" t="s">
        <v>5</v>
      </c>
      <c r="C1" s="39" t="s">
        <v>6</v>
      </c>
      <c r="D1" s="39" t="s">
        <v>7</v>
      </c>
      <c r="E1" s="39" t="s">
        <v>8</v>
      </c>
      <c r="F1" s="39" t="s">
        <v>9</v>
      </c>
      <c r="G1" s="39" t="s">
        <v>10</v>
      </c>
      <c r="H1" s="39" t="s">
        <v>11</v>
      </c>
      <c r="I1" s="39" t="s">
        <v>12</v>
      </c>
      <c r="J1" s="39" t="s">
        <v>13</v>
      </c>
      <c r="K1" s="40" t="s">
        <v>1</v>
      </c>
    </row>
    <row r="2" spans="1:11" x14ac:dyDescent="0.15">
      <c r="A2" s="41">
        <v>44379</v>
      </c>
      <c r="B2" s="42" t="s">
        <v>20</v>
      </c>
      <c r="C2" s="42" t="str">
        <f>VLOOKUP(B2,テーブル!$A$3:$B$6,2,0)</f>
        <v>新東海商事</v>
      </c>
      <c r="D2" s="42" t="s">
        <v>82</v>
      </c>
      <c r="E2" s="42" t="str">
        <f>VLOOKUP(LEFT(D2,1),テーブル!$D$5:$H$8,2,0)&amp;RIGHT(D2,2)&amp;"年型"</f>
        <v>コンパクト19年型</v>
      </c>
      <c r="F2" s="43">
        <v>0.38194444444444398</v>
      </c>
      <c r="G2" s="43">
        <v>0.81597222222222199</v>
      </c>
      <c r="H2" s="42">
        <f t="shared" ref="H2:H37" si="0">ROUNDUP((G2-F2)*24,0)</f>
        <v>11</v>
      </c>
      <c r="I2" s="44">
        <f>INDEX(テーブル!$K$4:$N$6,MATCH(MID(D2,2,1),テーブル!$J$4:$J$6,0),MATCH(LEFT(D2,1),テーブル!$K$3:$N$3,0))*H2</f>
        <v>7920</v>
      </c>
      <c r="J2" s="42">
        <f>ROUND(I2*VLOOKUP(LEFT(D2,1),テーブル!$D$5:$H$8,3,0),-1)</f>
        <v>250</v>
      </c>
      <c r="K2" s="63">
        <f>ROUNDDOWN(I2*VLOOKUP(LEFT(D2,1),テーブル!$D$5:$H$8,IF(H2&lt;=6,4,5),0),0)</f>
        <v>237</v>
      </c>
    </row>
    <row r="3" spans="1:11" x14ac:dyDescent="0.15">
      <c r="A3" s="41">
        <v>44379</v>
      </c>
      <c r="B3" s="42" t="s">
        <v>23</v>
      </c>
      <c r="C3" s="42" t="str">
        <f>VLOOKUP(B3,テーブル!$A$3:$B$6,2,0)</f>
        <v>ＡＧＳ総業</v>
      </c>
      <c r="D3" s="42" t="s">
        <v>80</v>
      </c>
      <c r="E3" s="42" t="str">
        <f>VLOOKUP(LEFT(D3,1),テーブル!$D$5:$H$8,2,0)&amp;RIGHT(D3,2)&amp;"年型"</f>
        <v>ミニバン20年型</v>
      </c>
      <c r="F3" s="43">
        <v>0.38541666666666702</v>
      </c>
      <c r="G3" s="43">
        <v>0.59375</v>
      </c>
      <c r="H3" s="42">
        <f t="shared" si="0"/>
        <v>5</v>
      </c>
      <c r="I3" s="44">
        <f>INDEX(テーブル!$K$4:$N$6,MATCH(MID(D3,2,1),テーブル!$J$4:$J$6,0),MATCH(LEFT(D3,1),テーブル!$K$3:$N$3,0))*H3</f>
        <v>6950</v>
      </c>
      <c r="J3" s="42">
        <f>ROUND(I3*VLOOKUP(LEFT(D3,1),テーブル!$D$5:$H$8,3,0),-1)</f>
        <v>260</v>
      </c>
      <c r="K3" s="63">
        <f>ROUNDDOWN(I3*VLOOKUP(LEFT(D3,1),テーブル!$D$5:$H$8,IF(H3&lt;=6,4,5),0),0)</f>
        <v>556</v>
      </c>
    </row>
    <row r="4" spans="1:11" x14ac:dyDescent="0.15">
      <c r="A4" s="41">
        <v>44379</v>
      </c>
      <c r="B4" s="42" t="s">
        <v>24</v>
      </c>
      <c r="C4" s="42" t="str">
        <f>VLOOKUP(B4,テーブル!$A$3:$B$6,2,0)</f>
        <v>マルイ産業</v>
      </c>
      <c r="D4" s="42" t="s">
        <v>68</v>
      </c>
      <c r="E4" s="42" t="str">
        <f>VLOOKUP(LEFT(D4,1),テーブル!$D$5:$H$8,2,0)&amp;RIGHT(D4,2)&amp;"年型"</f>
        <v>ミニバン21年型</v>
      </c>
      <c r="F4" s="43">
        <v>0.3125</v>
      </c>
      <c r="G4" s="43">
        <v>0.72222222222222199</v>
      </c>
      <c r="H4" s="42">
        <f t="shared" si="0"/>
        <v>10</v>
      </c>
      <c r="I4" s="44">
        <f>INDEX(テーブル!$K$4:$N$6,MATCH(MID(D4,2,1),テーブル!$J$4:$J$6,0),MATCH(LEFT(D4,1),テーブル!$K$3:$N$3,0))*H4</f>
        <v>13900</v>
      </c>
      <c r="J4" s="42">
        <f>ROUND(I4*VLOOKUP(LEFT(D4,1),テーブル!$D$5:$H$8,3,0),-1)</f>
        <v>530</v>
      </c>
      <c r="K4" s="63">
        <f>ROUNDDOWN(I4*VLOOKUP(LEFT(D4,1),テーブル!$D$5:$H$8,IF(H4&lt;=6,4,5),0),0)</f>
        <v>1251</v>
      </c>
    </row>
    <row r="5" spans="1:11" x14ac:dyDescent="0.15">
      <c r="A5" s="41">
        <v>44379</v>
      </c>
      <c r="B5" s="42" t="s">
        <v>26</v>
      </c>
      <c r="C5" s="42" t="str">
        <f>VLOOKUP(B5,テーブル!$A$3:$B$6,2,0)</f>
        <v>光通信企画</v>
      </c>
      <c r="D5" s="42" t="s">
        <v>60</v>
      </c>
      <c r="E5" s="42" t="str">
        <f>VLOOKUP(LEFT(D5,1),テーブル!$D$5:$H$8,2,0)&amp;RIGHT(D5,2)&amp;"年型"</f>
        <v>コンパクト21年型</v>
      </c>
      <c r="F5" s="43">
        <v>0.41666666666666702</v>
      </c>
      <c r="G5" s="43">
        <v>0.90972222222222199</v>
      </c>
      <c r="H5" s="42">
        <f t="shared" si="0"/>
        <v>12</v>
      </c>
      <c r="I5" s="44">
        <f>INDEX(テーブル!$K$4:$N$6,MATCH(MID(D5,2,1),テーブル!$J$4:$J$6,0),MATCH(LEFT(D5,1),テーブル!$K$3:$N$3,0))*H5</f>
        <v>10320</v>
      </c>
      <c r="J5" s="42">
        <f>ROUND(I5*VLOOKUP(LEFT(D5,1),テーブル!$D$5:$H$8,3,0),-1)</f>
        <v>330</v>
      </c>
      <c r="K5" s="63">
        <f>ROUNDDOWN(I5*VLOOKUP(LEFT(D5,1),テーブル!$D$5:$H$8,IF(H5&lt;=6,4,5),0),0)</f>
        <v>309</v>
      </c>
    </row>
    <row r="6" spans="1:11" x14ac:dyDescent="0.15">
      <c r="A6" s="41">
        <v>44386</v>
      </c>
      <c r="B6" s="42" t="s">
        <v>20</v>
      </c>
      <c r="C6" s="42" t="str">
        <f>VLOOKUP(B6,テーブル!$A$3:$B$6,2,0)</f>
        <v>新東海商事</v>
      </c>
      <c r="D6" s="42" t="s">
        <v>64</v>
      </c>
      <c r="E6" s="42" t="str">
        <f>VLOOKUP(LEFT(D6,1),テーブル!$D$5:$H$8,2,0)&amp;RIGHT(D6,2)&amp;"年型"</f>
        <v>エコカー21年型</v>
      </c>
      <c r="F6" s="43">
        <v>0.34722222222222199</v>
      </c>
      <c r="G6" s="43">
        <v>0.55208333333333304</v>
      </c>
      <c r="H6" s="42">
        <f t="shared" si="0"/>
        <v>5</v>
      </c>
      <c r="I6" s="44">
        <f>INDEX(テーブル!$K$4:$N$6,MATCH(MID(D6,2,1),テーブル!$J$4:$J$6,0),MATCH(LEFT(D6,1),テーブル!$K$3:$N$3,0))*H6</f>
        <v>6000</v>
      </c>
      <c r="J6" s="42">
        <f>ROUND(I6*VLOOKUP(LEFT(D6,1),テーブル!$D$5:$H$8,3,0),-1)</f>
        <v>220</v>
      </c>
      <c r="K6" s="63">
        <f>ROUNDDOWN(I6*VLOOKUP(LEFT(D6,1),テーブル!$D$5:$H$8,IF(H6&lt;=6,4,5),0),0)</f>
        <v>360</v>
      </c>
    </row>
    <row r="7" spans="1:11" x14ac:dyDescent="0.15">
      <c r="A7" s="41">
        <v>44386</v>
      </c>
      <c r="B7" s="42" t="s">
        <v>23</v>
      </c>
      <c r="C7" s="42" t="str">
        <f>VLOOKUP(B7,テーブル!$A$3:$B$6,2,0)</f>
        <v>ＡＧＳ総業</v>
      </c>
      <c r="D7" s="42" t="s">
        <v>67</v>
      </c>
      <c r="E7" s="42" t="str">
        <f>VLOOKUP(LEFT(D7,1),テーブル!$D$5:$H$8,2,0)&amp;RIGHT(D7,2)&amp;"年型"</f>
        <v>ミニバン21年型</v>
      </c>
      <c r="F7" s="43">
        <v>0.48611111111111099</v>
      </c>
      <c r="G7" s="43">
        <v>0.85763888888888895</v>
      </c>
      <c r="H7" s="42">
        <f t="shared" si="0"/>
        <v>9</v>
      </c>
      <c r="I7" s="44">
        <f>INDEX(テーブル!$K$4:$N$6,MATCH(MID(D7,2,1),テーブル!$J$4:$J$6,0),MATCH(LEFT(D7,1),テーブル!$K$3:$N$3,0))*H7</f>
        <v>11340</v>
      </c>
      <c r="J7" s="42">
        <f>ROUND(I7*VLOOKUP(LEFT(D7,1),テーブル!$D$5:$H$8,3,0),-1)</f>
        <v>430</v>
      </c>
      <c r="K7" s="63">
        <f>ROUNDDOWN(I7*VLOOKUP(LEFT(D7,1),テーブル!$D$5:$H$8,IF(H7&lt;=6,4,5),0),0)</f>
        <v>1020</v>
      </c>
    </row>
    <row r="8" spans="1:11" x14ac:dyDescent="0.15">
      <c r="A8" s="41">
        <v>44386</v>
      </c>
      <c r="B8" s="42" t="s">
        <v>24</v>
      </c>
      <c r="C8" s="42" t="str">
        <f>VLOOKUP(B8,テーブル!$A$3:$B$6,2,0)</f>
        <v>マルイ産業</v>
      </c>
      <c r="D8" s="42" t="s">
        <v>93</v>
      </c>
      <c r="E8" s="42" t="str">
        <f>VLOOKUP(LEFT(D8,1),テーブル!$D$5:$H$8,2,0)&amp;RIGHT(D8,2)&amp;"年型"</f>
        <v>ミニバン19年型</v>
      </c>
      <c r="F8" s="43">
        <v>0.39583333333333298</v>
      </c>
      <c r="G8" s="43">
        <v>0.8125</v>
      </c>
      <c r="H8" s="42">
        <f t="shared" si="0"/>
        <v>10</v>
      </c>
      <c r="I8" s="44">
        <f>INDEX(テーブル!$K$4:$N$6,MATCH(MID(D8,2,1),テーブル!$J$4:$J$6,0),MATCH(LEFT(D8,1),テーブル!$K$3:$N$3,0))*H8</f>
        <v>15300</v>
      </c>
      <c r="J8" s="42">
        <f>ROUND(I8*VLOOKUP(LEFT(D8,1),テーブル!$D$5:$H$8,3,0),-1)</f>
        <v>580</v>
      </c>
      <c r="K8" s="63">
        <f>ROUNDDOWN(I8*VLOOKUP(LEFT(D8,1),テーブル!$D$5:$H$8,IF(H8&lt;=6,4,5),0),0)</f>
        <v>1377</v>
      </c>
    </row>
    <row r="9" spans="1:11" x14ac:dyDescent="0.15">
      <c r="A9" s="41">
        <v>44386</v>
      </c>
      <c r="B9" s="42" t="s">
        <v>26</v>
      </c>
      <c r="C9" s="42" t="str">
        <f>VLOOKUP(B9,テーブル!$A$3:$B$6,2,0)</f>
        <v>光通信企画</v>
      </c>
      <c r="D9" s="42" t="s">
        <v>73</v>
      </c>
      <c r="E9" s="42" t="str">
        <f>VLOOKUP(LEFT(D9,1),テーブル!$D$5:$H$8,2,0)&amp;RIGHT(D9,2)&amp;"年型"</f>
        <v>乗用車20年型</v>
      </c>
      <c r="F9" s="43">
        <v>0.375</v>
      </c>
      <c r="G9" s="43">
        <v>0.86805555555555503</v>
      </c>
      <c r="H9" s="42">
        <f t="shared" si="0"/>
        <v>12</v>
      </c>
      <c r="I9" s="44">
        <f>INDEX(テーブル!$K$4:$N$6,MATCH(MID(D9,2,1),テーブル!$J$4:$J$6,0),MATCH(LEFT(D9,1),テーブル!$K$3:$N$3,0))*H9</f>
        <v>10200</v>
      </c>
      <c r="J9" s="42">
        <f>ROUND(I9*VLOOKUP(LEFT(D9,1),テーブル!$D$5:$H$8,3,0),-1)</f>
        <v>350</v>
      </c>
      <c r="K9" s="63">
        <f>ROUNDDOWN(I9*VLOOKUP(LEFT(D9,1),テーブル!$D$5:$H$8,IF(H9&lt;=6,4,5),0),0)</f>
        <v>510</v>
      </c>
    </row>
    <row r="10" spans="1:11" x14ac:dyDescent="0.15">
      <c r="A10" s="41">
        <v>44393</v>
      </c>
      <c r="B10" s="42" t="s">
        <v>20</v>
      </c>
      <c r="C10" s="42" t="str">
        <f>VLOOKUP(B10,テーブル!$A$3:$B$6,2,0)</f>
        <v>新東海商事</v>
      </c>
      <c r="D10" s="42" t="s">
        <v>71</v>
      </c>
      <c r="E10" s="42" t="str">
        <f>VLOOKUP(LEFT(D10,1),テーブル!$D$5:$H$8,2,0)&amp;RIGHT(D10,2)&amp;"年型"</f>
        <v>コンパクト20年型</v>
      </c>
      <c r="F10" s="43">
        <v>0.43055555555555602</v>
      </c>
      <c r="G10" s="43">
        <v>0.67708333333333304</v>
      </c>
      <c r="H10" s="42">
        <f t="shared" si="0"/>
        <v>6</v>
      </c>
      <c r="I10" s="44">
        <f>INDEX(テーブル!$K$4:$N$6,MATCH(MID(D10,2,1),テーブル!$J$4:$J$6,0),MATCH(LEFT(D10,1),テーブル!$K$3:$N$3,0))*H10</f>
        <v>4740</v>
      </c>
      <c r="J10" s="42">
        <f>ROUND(I10*VLOOKUP(LEFT(D10,1),テーブル!$D$5:$H$8,3,0),-1)</f>
        <v>150</v>
      </c>
      <c r="K10" s="63">
        <f>ROUNDDOWN(I10*VLOOKUP(LEFT(D10,1),テーブル!$D$5:$H$8,IF(H10&lt;=6,4,5),0),0)</f>
        <v>94</v>
      </c>
    </row>
    <row r="11" spans="1:11" x14ac:dyDescent="0.15">
      <c r="A11" s="41">
        <v>44393</v>
      </c>
      <c r="B11" s="42" t="s">
        <v>23</v>
      </c>
      <c r="C11" s="42" t="str">
        <f>VLOOKUP(B11,テーブル!$A$3:$B$6,2,0)</f>
        <v>ＡＧＳ総業</v>
      </c>
      <c r="D11" s="42" t="s">
        <v>72</v>
      </c>
      <c r="E11" s="42" t="str">
        <f>VLOOKUP(LEFT(D11,1),テーブル!$D$5:$H$8,2,0)&amp;RIGHT(D11,2)&amp;"年型"</f>
        <v>コンパクト20年型</v>
      </c>
      <c r="F11" s="43">
        <v>0.39930555555555602</v>
      </c>
      <c r="G11" s="43">
        <v>0.80555555555555503</v>
      </c>
      <c r="H11" s="42">
        <f t="shared" si="0"/>
        <v>10</v>
      </c>
      <c r="I11" s="44">
        <f>INDEX(テーブル!$K$4:$N$6,MATCH(MID(D11,2,1),テーブル!$J$4:$J$6,0),MATCH(LEFT(D11,1),テーブル!$K$3:$N$3,0))*H11</f>
        <v>8600</v>
      </c>
      <c r="J11" s="42">
        <f>ROUND(I11*VLOOKUP(LEFT(D11,1),テーブル!$D$5:$H$8,3,0),-1)</f>
        <v>280</v>
      </c>
      <c r="K11" s="63">
        <f>ROUNDDOWN(I11*VLOOKUP(LEFT(D11,1),テーブル!$D$5:$H$8,IF(H11&lt;=6,4,5),0),0)</f>
        <v>258</v>
      </c>
    </row>
    <row r="12" spans="1:11" x14ac:dyDescent="0.15">
      <c r="A12" s="41">
        <v>44393</v>
      </c>
      <c r="B12" s="42" t="s">
        <v>24</v>
      </c>
      <c r="C12" s="42" t="str">
        <f>VLOOKUP(B12,テーブル!$A$3:$B$6,2,0)</f>
        <v>マルイ産業</v>
      </c>
      <c r="D12" s="42" t="s">
        <v>63</v>
      </c>
      <c r="E12" s="42" t="str">
        <f>VLOOKUP(LEFT(D12,1),テーブル!$D$5:$H$8,2,0)&amp;RIGHT(D12,2)&amp;"年型"</f>
        <v>乗用車21年型</v>
      </c>
      <c r="F12" s="43">
        <v>0.42361111111111099</v>
      </c>
      <c r="G12" s="43">
        <v>0.92013888888888895</v>
      </c>
      <c r="H12" s="42">
        <f t="shared" si="0"/>
        <v>12</v>
      </c>
      <c r="I12" s="44">
        <f>INDEX(テーブル!$K$4:$N$6,MATCH(MID(D12,2,1),テーブル!$J$4:$J$6,0),MATCH(LEFT(D12,1),テーブル!$K$3:$N$3,0))*H12</f>
        <v>12480</v>
      </c>
      <c r="J12" s="42">
        <f>ROUND(I12*VLOOKUP(LEFT(D12,1),テーブル!$D$5:$H$8,3,0),-1)</f>
        <v>420</v>
      </c>
      <c r="K12" s="63">
        <f>ROUNDDOWN(I12*VLOOKUP(LEFT(D12,1),テーブル!$D$5:$H$8,IF(H12&lt;=6,4,5),0),0)</f>
        <v>624</v>
      </c>
    </row>
    <row r="13" spans="1:11" x14ac:dyDescent="0.15">
      <c r="A13" s="41">
        <v>44393</v>
      </c>
      <c r="B13" s="42" t="s">
        <v>26</v>
      </c>
      <c r="C13" s="42" t="str">
        <f>VLOOKUP(B13,テーブル!$A$3:$B$6,2,0)</f>
        <v>光通信企画</v>
      </c>
      <c r="D13" s="42" t="s">
        <v>92</v>
      </c>
      <c r="E13" s="42" t="str">
        <f>VLOOKUP(LEFT(D13,1),テーブル!$D$5:$H$8,2,0)&amp;RIGHT(D13,2)&amp;"年型"</f>
        <v>ミニバン19年型</v>
      </c>
      <c r="F13" s="43">
        <v>0.38888888888888901</v>
      </c>
      <c r="G13" s="43">
        <v>0.62847222222222199</v>
      </c>
      <c r="H13" s="42">
        <f t="shared" si="0"/>
        <v>6</v>
      </c>
      <c r="I13" s="44">
        <f>INDEX(テーブル!$K$4:$N$6,MATCH(MID(D13,2,1),テーブル!$J$4:$J$6,0),MATCH(LEFT(D13,1),テーブル!$K$3:$N$3,0))*H13</f>
        <v>8340</v>
      </c>
      <c r="J13" s="42">
        <f>ROUND(I13*VLOOKUP(LEFT(D13,1),テーブル!$D$5:$H$8,3,0),-1)</f>
        <v>320</v>
      </c>
      <c r="K13" s="63">
        <f>ROUNDDOWN(I13*VLOOKUP(LEFT(D13,1),テーブル!$D$5:$H$8,IF(H13&lt;=6,4,5),0),0)</f>
        <v>667</v>
      </c>
    </row>
    <row r="14" spans="1:11" x14ac:dyDescent="0.15">
      <c r="A14" s="41">
        <v>44400</v>
      </c>
      <c r="B14" s="42" t="s">
        <v>20</v>
      </c>
      <c r="C14" s="42" t="str">
        <f>VLOOKUP(B14,テーブル!$A$3:$B$6,2,0)</f>
        <v>新東海商事</v>
      </c>
      <c r="D14" s="42" t="s">
        <v>58</v>
      </c>
      <c r="E14" s="42" t="str">
        <f>VLOOKUP(LEFT(D14,1),テーブル!$D$5:$H$8,2,0)&amp;RIGHT(D14,2)&amp;"年型"</f>
        <v>コンパクト21年型</v>
      </c>
      <c r="F14" s="43">
        <v>0.42708333333333298</v>
      </c>
      <c r="G14" s="43">
        <v>0.87152777777777801</v>
      </c>
      <c r="H14" s="42">
        <f t="shared" si="0"/>
        <v>11</v>
      </c>
      <c r="I14" s="44">
        <f>INDEX(テーブル!$K$4:$N$6,MATCH(MID(D14,2,1),テーブル!$J$4:$J$6,0),MATCH(LEFT(D14,1),テーブル!$K$3:$N$3,0))*H14</f>
        <v>7920</v>
      </c>
      <c r="J14" s="42">
        <f>ROUND(I14*VLOOKUP(LEFT(D14,1),テーブル!$D$5:$H$8,3,0),-1)</f>
        <v>250</v>
      </c>
      <c r="K14" s="63">
        <f>ROUNDDOWN(I14*VLOOKUP(LEFT(D14,1),テーブル!$D$5:$H$8,IF(H14&lt;=6,4,5),0),0)</f>
        <v>237</v>
      </c>
    </row>
    <row r="15" spans="1:11" x14ac:dyDescent="0.15">
      <c r="A15" s="41">
        <v>44400</v>
      </c>
      <c r="B15" s="42" t="s">
        <v>23</v>
      </c>
      <c r="C15" s="42" t="str">
        <f>VLOOKUP(B15,テーブル!$A$3:$B$6,2,0)</f>
        <v>ＡＧＳ総業</v>
      </c>
      <c r="D15" s="42" t="s">
        <v>59</v>
      </c>
      <c r="E15" s="42" t="str">
        <f>VLOOKUP(LEFT(D15,1),テーブル!$D$5:$H$8,2,0)&amp;RIGHT(D15,2)&amp;"年型"</f>
        <v>コンパクト21年型</v>
      </c>
      <c r="F15" s="43">
        <v>0.40277777777777801</v>
      </c>
      <c r="G15" s="43">
        <v>0.77083333333333304</v>
      </c>
      <c r="H15" s="42">
        <f t="shared" si="0"/>
        <v>9</v>
      </c>
      <c r="I15" s="44">
        <f>INDEX(テーブル!$K$4:$N$6,MATCH(MID(D15,2,1),テーブル!$J$4:$J$6,0),MATCH(LEFT(D15,1),テーブル!$K$3:$N$3,0))*H15</f>
        <v>7110</v>
      </c>
      <c r="J15" s="42">
        <f>ROUND(I15*VLOOKUP(LEFT(D15,1),テーブル!$D$5:$H$8,3,0),-1)</f>
        <v>230</v>
      </c>
      <c r="K15" s="63">
        <f>ROUNDDOWN(I15*VLOOKUP(LEFT(D15,1),テーブル!$D$5:$H$8,IF(H15&lt;=6,4,5),0),0)</f>
        <v>213</v>
      </c>
    </row>
    <row r="16" spans="1:11" x14ac:dyDescent="0.15">
      <c r="A16" s="41">
        <v>44400</v>
      </c>
      <c r="B16" s="42" t="s">
        <v>24</v>
      </c>
      <c r="C16" s="42" t="str">
        <f>VLOOKUP(B16,テーブル!$A$3:$B$6,2,0)</f>
        <v>マルイ産業</v>
      </c>
      <c r="D16" s="42" t="s">
        <v>77</v>
      </c>
      <c r="E16" s="42" t="str">
        <f>VLOOKUP(LEFT(D16,1),テーブル!$D$5:$H$8,2,0)&amp;RIGHT(D16,2)&amp;"年型"</f>
        <v>エコカー20年型</v>
      </c>
      <c r="F16" s="43">
        <v>0.36111111111111099</v>
      </c>
      <c r="G16" s="43">
        <v>0.76736111111111105</v>
      </c>
      <c r="H16" s="42">
        <f t="shared" si="0"/>
        <v>10</v>
      </c>
      <c r="I16" s="44">
        <f>INDEX(テーブル!$K$4:$N$6,MATCH(MID(D16,2,1),テーブル!$J$4:$J$6,0),MATCH(LEFT(D16,1),テーブル!$K$3:$N$3,0))*H16</f>
        <v>13100</v>
      </c>
      <c r="J16" s="42">
        <f>ROUND(I16*VLOOKUP(LEFT(D16,1),テーブル!$D$5:$H$8,3,0),-1)</f>
        <v>470</v>
      </c>
      <c r="K16" s="63">
        <f>ROUNDDOWN(I16*VLOOKUP(LEFT(D16,1),テーブル!$D$5:$H$8,IF(H16&lt;=6,4,5),0),0)</f>
        <v>917</v>
      </c>
    </row>
    <row r="17" spans="1:11" x14ac:dyDescent="0.15">
      <c r="A17" s="41">
        <v>44400</v>
      </c>
      <c r="B17" s="42" t="s">
        <v>26</v>
      </c>
      <c r="C17" s="42" t="str">
        <f>VLOOKUP(B17,テーブル!$A$3:$B$6,2,0)</f>
        <v>光通信企画</v>
      </c>
      <c r="D17" s="42" t="s">
        <v>78</v>
      </c>
      <c r="E17" s="42" t="str">
        <f>VLOOKUP(LEFT(D17,1),テーブル!$D$5:$H$8,2,0)&amp;RIGHT(D17,2)&amp;"年型"</f>
        <v>エコカー20年型</v>
      </c>
      <c r="F17" s="43">
        <v>0.39236111111111099</v>
      </c>
      <c r="G17" s="43">
        <v>0.72222222222222199</v>
      </c>
      <c r="H17" s="42">
        <f t="shared" si="0"/>
        <v>8</v>
      </c>
      <c r="I17" s="44">
        <f>INDEX(テーブル!$K$4:$N$6,MATCH(MID(D17,2,1),テーブル!$J$4:$J$6,0),MATCH(LEFT(D17,1),テーブル!$K$3:$N$3,0))*H17</f>
        <v>11360</v>
      </c>
      <c r="J17" s="42">
        <f>ROUND(I17*VLOOKUP(LEFT(D17,1),テーブル!$D$5:$H$8,3,0),-1)</f>
        <v>410</v>
      </c>
      <c r="K17" s="63">
        <f>ROUNDDOWN(I17*VLOOKUP(LEFT(D17,1),テーブル!$D$5:$H$8,IF(H17&lt;=6,4,5),0),0)</f>
        <v>795</v>
      </c>
    </row>
    <row r="18" spans="1:11" x14ac:dyDescent="0.15">
      <c r="A18" s="41">
        <v>44407</v>
      </c>
      <c r="B18" s="42" t="s">
        <v>20</v>
      </c>
      <c r="C18" s="42" t="str">
        <f>VLOOKUP(B18,テーブル!$A$3:$B$6,2,0)</f>
        <v>新東海商事</v>
      </c>
      <c r="D18" s="42" t="s">
        <v>69</v>
      </c>
      <c r="E18" s="42" t="str">
        <f>VLOOKUP(LEFT(D18,1),テーブル!$D$5:$H$8,2,0)&amp;RIGHT(D18,2)&amp;"年型"</f>
        <v>ミニバン21年型</v>
      </c>
      <c r="F18" s="43">
        <v>0.625</v>
      </c>
      <c r="G18" s="43">
        <v>0.71180555555555547</v>
      </c>
      <c r="H18" s="42">
        <f t="shared" si="0"/>
        <v>3</v>
      </c>
      <c r="I18" s="44">
        <f>INDEX(テーブル!$K$4:$N$6,MATCH(MID(D18,2,1),テーブル!$J$4:$J$6,0),MATCH(LEFT(D18,1),テーブル!$K$3:$N$3,0))*H18</f>
        <v>4590</v>
      </c>
      <c r="J18" s="42">
        <f>ROUND(I18*VLOOKUP(LEFT(D18,1),テーブル!$D$5:$H$8,3,0),-1)</f>
        <v>170</v>
      </c>
      <c r="K18" s="63">
        <f>ROUNDDOWN(I18*VLOOKUP(LEFT(D18,1),テーブル!$D$5:$H$8,IF(H18&lt;=6,4,5),0),0)</f>
        <v>367</v>
      </c>
    </row>
    <row r="19" spans="1:11" x14ac:dyDescent="0.15">
      <c r="A19" s="41">
        <v>44407</v>
      </c>
      <c r="B19" s="42" t="s">
        <v>23</v>
      </c>
      <c r="C19" s="42" t="str">
        <f>VLOOKUP(B19,テーブル!$A$3:$B$6,2,0)</f>
        <v>ＡＧＳ総業</v>
      </c>
      <c r="D19" s="42" t="s">
        <v>79</v>
      </c>
      <c r="E19" s="42" t="str">
        <f>VLOOKUP(LEFT(D19,1),テーブル!$D$5:$H$8,2,0)&amp;RIGHT(D19,2)&amp;"年型"</f>
        <v>ミニバン20年型</v>
      </c>
      <c r="F19" s="43">
        <v>0.37847222222222227</v>
      </c>
      <c r="G19" s="43">
        <v>0.64930555555555558</v>
      </c>
      <c r="H19" s="42">
        <f t="shared" si="0"/>
        <v>7</v>
      </c>
      <c r="I19" s="44">
        <f>INDEX(テーブル!$K$4:$N$6,MATCH(MID(D19,2,1),テーブル!$J$4:$J$6,0),MATCH(LEFT(D19,1),テーブル!$K$3:$N$3,0))*H19</f>
        <v>8820</v>
      </c>
      <c r="J19" s="42">
        <f>ROUND(I19*VLOOKUP(LEFT(D19,1),テーブル!$D$5:$H$8,3,0),-1)</f>
        <v>340</v>
      </c>
      <c r="K19" s="63">
        <f>ROUNDDOWN(I19*VLOOKUP(LEFT(D19,1),テーブル!$D$5:$H$8,IF(H19&lt;=6,4,5),0),0)</f>
        <v>793</v>
      </c>
    </row>
    <row r="20" spans="1:11" x14ac:dyDescent="0.15">
      <c r="A20" s="41">
        <v>44407</v>
      </c>
      <c r="B20" s="42" t="s">
        <v>24</v>
      </c>
      <c r="C20" s="42" t="str">
        <f>VLOOKUP(B20,テーブル!$A$3:$B$6,2,0)</f>
        <v>マルイ産業</v>
      </c>
      <c r="D20" s="42" t="s">
        <v>86</v>
      </c>
      <c r="E20" s="42" t="str">
        <f>VLOOKUP(LEFT(D20,1),テーブル!$D$5:$H$8,2,0)&amp;RIGHT(D20,2)&amp;"年型"</f>
        <v>乗用車19年型</v>
      </c>
      <c r="F20" s="43">
        <v>0.2951388888888889</v>
      </c>
      <c r="G20" s="43">
        <v>0.52430555555555558</v>
      </c>
      <c r="H20" s="42">
        <f t="shared" si="0"/>
        <v>6</v>
      </c>
      <c r="I20" s="44">
        <f>INDEX(テーブル!$K$4:$N$6,MATCH(MID(D20,2,1),テーブル!$J$4:$J$6,0),MATCH(LEFT(D20,1),テーブル!$K$3:$N$3,0))*H20</f>
        <v>5640</v>
      </c>
      <c r="J20" s="42">
        <f>ROUND(I20*VLOOKUP(LEFT(D20,1),テーブル!$D$5:$H$8,3,0),-1)</f>
        <v>190</v>
      </c>
      <c r="K20" s="63">
        <f>ROUNDDOWN(I20*VLOOKUP(LEFT(D20,1),テーブル!$D$5:$H$8,IF(H20&lt;=6,4,5),0),0)</f>
        <v>225</v>
      </c>
    </row>
    <row r="21" spans="1:11" x14ac:dyDescent="0.15">
      <c r="A21" s="41">
        <v>44407</v>
      </c>
      <c r="B21" s="42" t="s">
        <v>26</v>
      </c>
      <c r="C21" s="42" t="str">
        <f>VLOOKUP(B21,テーブル!$A$3:$B$6,2,0)</f>
        <v>光通信企画</v>
      </c>
      <c r="D21" s="42" t="s">
        <v>85</v>
      </c>
      <c r="E21" s="42" t="str">
        <f>VLOOKUP(LEFT(D21,1),テーブル!$D$5:$H$8,2,0)&amp;RIGHT(D21,2)&amp;"年型"</f>
        <v>乗用車19年型</v>
      </c>
      <c r="F21" s="43">
        <v>0.34027777777777773</v>
      </c>
      <c r="G21" s="43">
        <v>0.54166666666666663</v>
      </c>
      <c r="H21" s="42">
        <f t="shared" si="0"/>
        <v>5</v>
      </c>
      <c r="I21" s="44">
        <f>INDEX(テーブル!$K$4:$N$6,MATCH(MID(D21,2,1),テーブル!$J$4:$J$6,0),MATCH(LEFT(D21,1),テーブル!$K$3:$N$3,0))*H21</f>
        <v>4250</v>
      </c>
      <c r="J21" s="42">
        <f>ROUND(I21*VLOOKUP(LEFT(D21,1),テーブル!$D$5:$H$8,3,0),-1)</f>
        <v>140</v>
      </c>
      <c r="K21" s="63">
        <f>ROUNDDOWN(I21*VLOOKUP(LEFT(D21,1),テーブル!$D$5:$H$8,IF(H21&lt;=6,4,5),0),0)</f>
        <v>170</v>
      </c>
    </row>
    <row r="22" spans="1:11" x14ac:dyDescent="0.15">
      <c r="A22" s="41">
        <v>44414</v>
      </c>
      <c r="B22" s="42" t="s">
        <v>20</v>
      </c>
      <c r="C22" s="42" t="str">
        <f>VLOOKUP(B22,テーブル!$A$3:$B$6,2,0)</f>
        <v>新東海商事</v>
      </c>
      <c r="D22" s="42" t="s">
        <v>76</v>
      </c>
      <c r="E22" s="42" t="str">
        <f>VLOOKUP(LEFT(D22,1),テーブル!$D$5:$H$8,2,0)&amp;RIGHT(D22,2)&amp;"年型"</f>
        <v>エコカー20年型</v>
      </c>
      <c r="F22" s="43">
        <v>0.30208333333333331</v>
      </c>
      <c r="G22" s="43">
        <v>0.66666666666666663</v>
      </c>
      <c r="H22" s="42">
        <f t="shared" si="0"/>
        <v>9</v>
      </c>
      <c r="I22" s="44">
        <f>INDEX(テーブル!$K$4:$N$6,MATCH(MID(D22,2,1),テーブル!$J$4:$J$6,0),MATCH(LEFT(D22,1),テーブル!$K$3:$N$3,0))*H22</f>
        <v>10800</v>
      </c>
      <c r="J22" s="42">
        <f>ROUND(I22*VLOOKUP(LEFT(D22,1),テーブル!$D$5:$H$8,3,0),-1)</f>
        <v>390</v>
      </c>
      <c r="K22" s="63">
        <f>ROUNDDOWN(I22*VLOOKUP(LEFT(D22,1),テーブル!$D$5:$H$8,IF(H22&lt;=6,4,5),0),0)</f>
        <v>756</v>
      </c>
    </row>
    <row r="23" spans="1:11" x14ac:dyDescent="0.15">
      <c r="A23" s="41">
        <v>44414</v>
      </c>
      <c r="B23" s="42" t="s">
        <v>23</v>
      </c>
      <c r="C23" s="42" t="str">
        <f>VLOOKUP(B23,テーブル!$A$3:$B$6,2,0)</f>
        <v>ＡＧＳ総業</v>
      </c>
      <c r="D23" s="42" t="s">
        <v>75</v>
      </c>
      <c r="E23" s="42" t="str">
        <f>VLOOKUP(LEFT(D23,1),テーブル!$D$5:$H$8,2,0)&amp;RIGHT(D23,2)&amp;"年型"</f>
        <v>乗用車20年型</v>
      </c>
      <c r="F23" s="43">
        <v>0.3888888888888889</v>
      </c>
      <c r="G23" s="43">
        <v>0.86805555555555547</v>
      </c>
      <c r="H23" s="42">
        <f t="shared" si="0"/>
        <v>12</v>
      </c>
      <c r="I23" s="44">
        <f>INDEX(テーブル!$K$4:$N$6,MATCH(MID(D23,2,1),テーブル!$J$4:$J$6,0),MATCH(LEFT(D23,1),テーブル!$K$3:$N$3,0))*H23</f>
        <v>12480</v>
      </c>
      <c r="J23" s="42">
        <f>ROUND(I23*VLOOKUP(LEFT(D23,1),テーブル!$D$5:$H$8,3,0),-1)</f>
        <v>420</v>
      </c>
      <c r="K23" s="63">
        <f>ROUNDDOWN(I23*VLOOKUP(LEFT(D23,1),テーブル!$D$5:$H$8,IF(H23&lt;=6,4,5),0),0)</f>
        <v>624</v>
      </c>
    </row>
    <row r="24" spans="1:11" x14ac:dyDescent="0.15">
      <c r="A24" s="41">
        <v>44414</v>
      </c>
      <c r="B24" s="42" t="s">
        <v>24</v>
      </c>
      <c r="C24" s="42" t="str">
        <f>VLOOKUP(B24,テーブル!$A$3:$B$6,2,0)</f>
        <v>マルイ産業</v>
      </c>
      <c r="D24" s="42" t="s">
        <v>74</v>
      </c>
      <c r="E24" s="42" t="str">
        <f>VLOOKUP(LEFT(D24,1),テーブル!$D$5:$H$8,2,0)&amp;RIGHT(D24,2)&amp;"年型"</f>
        <v>乗用車20年型</v>
      </c>
      <c r="F24" s="43">
        <v>0.33333333333333331</v>
      </c>
      <c r="G24" s="43">
        <v>0.51041666666666663</v>
      </c>
      <c r="H24" s="42">
        <f t="shared" si="0"/>
        <v>5</v>
      </c>
      <c r="I24" s="44">
        <f>INDEX(テーブル!$K$4:$N$6,MATCH(MID(D24,2,1),テーブル!$J$4:$J$6,0),MATCH(LEFT(D24,1),テーブル!$K$3:$N$3,0))*H24</f>
        <v>4700</v>
      </c>
      <c r="J24" s="42">
        <f>ROUND(I24*VLOOKUP(LEFT(D24,1),テーブル!$D$5:$H$8,3,0),-1)</f>
        <v>160</v>
      </c>
      <c r="K24" s="63">
        <f>ROUNDDOWN(I24*VLOOKUP(LEFT(D24,1),テーブル!$D$5:$H$8,IF(H24&lt;=6,4,5),0),0)</f>
        <v>188</v>
      </c>
    </row>
    <row r="25" spans="1:11" x14ac:dyDescent="0.15">
      <c r="A25" s="41">
        <v>44414</v>
      </c>
      <c r="B25" s="42" t="s">
        <v>26</v>
      </c>
      <c r="C25" s="42" t="str">
        <f>VLOOKUP(B25,テーブル!$A$3:$B$6,2,0)</f>
        <v>光通信企画</v>
      </c>
      <c r="D25" s="42" t="s">
        <v>87</v>
      </c>
      <c r="E25" s="42" t="str">
        <f>VLOOKUP(LEFT(D25,1),テーブル!$D$5:$H$8,2,0)&amp;RIGHT(D25,2)&amp;"年型"</f>
        <v>乗用車19年型</v>
      </c>
      <c r="F25" s="43">
        <v>0.29166666666666669</v>
      </c>
      <c r="G25" s="43">
        <v>0.82291666666666663</v>
      </c>
      <c r="H25" s="42">
        <f t="shared" si="0"/>
        <v>13</v>
      </c>
      <c r="I25" s="44">
        <f>INDEX(テーブル!$K$4:$N$6,MATCH(MID(D25,2,1),テーブル!$J$4:$J$6,0),MATCH(LEFT(D25,1),テーブル!$K$3:$N$3,0))*H25</f>
        <v>13520</v>
      </c>
      <c r="J25" s="42">
        <f>ROUND(I25*VLOOKUP(LEFT(D25,1),テーブル!$D$5:$H$8,3,0),-1)</f>
        <v>460</v>
      </c>
      <c r="K25" s="63">
        <f>ROUNDDOWN(I25*VLOOKUP(LEFT(D25,1),テーブル!$D$5:$H$8,IF(H25&lt;=6,4,5),0),0)</f>
        <v>676</v>
      </c>
    </row>
    <row r="26" spans="1:11" x14ac:dyDescent="0.15">
      <c r="A26" s="41">
        <v>44421</v>
      </c>
      <c r="B26" s="42" t="s">
        <v>20</v>
      </c>
      <c r="C26" s="42" t="str">
        <f>VLOOKUP(B26,テーブル!$A$3:$B$6,2,0)</f>
        <v>新東海商事</v>
      </c>
      <c r="D26" s="42" t="s">
        <v>90</v>
      </c>
      <c r="E26" s="42" t="str">
        <f>VLOOKUP(LEFT(D26,1),テーブル!$D$5:$H$8,2,0)&amp;RIGHT(D26,2)&amp;"年型"</f>
        <v>エコカー19年型</v>
      </c>
      <c r="F26" s="43">
        <v>0.37152777777777773</v>
      </c>
      <c r="G26" s="43">
        <v>0.64583333333333337</v>
      </c>
      <c r="H26" s="42">
        <f t="shared" si="0"/>
        <v>7</v>
      </c>
      <c r="I26" s="44">
        <f>INDEX(テーブル!$K$4:$N$6,MATCH(MID(D26,2,1),テーブル!$J$4:$J$6,0),MATCH(LEFT(D26,1),テーブル!$K$3:$N$3,0))*H26</f>
        <v>9940</v>
      </c>
      <c r="J26" s="42">
        <f>ROUND(I26*VLOOKUP(LEFT(D26,1),テーブル!$D$5:$H$8,3,0),-1)</f>
        <v>360</v>
      </c>
      <c r="K26" s="63">
        <f>ROUNDDOWN(I26*VLOOKUP(LEFT(D26,1),テーブル!$D$5:$H$8,IF(H26&lt;=6,4,5),0),0)</f>
        <v>695</v>
      </c>
    </row>
    <row r="27" spans="1:11" x14ac:dyDescent="0.15">
      <c r="A27" s="41">
        <v>44421</v>
      </c>
      <c r="B27" s="42" t="s">
        <v>23</v>
      </c>
      <c r="C27" s="42" t="str">
        <f>VLOOKUP(B27,テーブル!$A$3:$B$6,2,0)</f>
        <v>ＡＧＳ総業</v>
      </c>
      <c r="D27" s="42" t="s">
        <v>89</v>
      </c>
      <c r="E27" s="42" t="str">
        <f>VLOOKUP(LEFT(D27,1),テーブル!$D$5:$H$8,2,0)&amp;RIGHT(D27,2)&amp;"年型"</f>
        <v>エコカー19年型</v>
      </c>
      <c r="F27" s="43">
        <v>0.3263888888888889</v>
      </c>
      <c r="G27" s="43">
        <v>0.78819444444444453</v>
      </c>
      <c r="H27" s="42">
        <f t="shared" si="0"/>
        <v>12</v>
      </c>
      <c r="I27" s="44">
        <f>INDEX(テーブル!$K$4:$N$6,MATCH(MID(D27,2,1),テーブル!$J$4:$J$6,0),MATCH(LEFT(D27,1),テーブル!$K$3:$N$3,0))*H27</f>
        <v>15720</v>
      </c>
      <c r="J27" s="42">
        <f>ROUND(I27*VLOOKUP(LEFT(D27,1),テーブル!$D$5:$H$8,3,0),-1)</f>
        <v>570</v>
      </c>
      <c r="K27" s="63">
        <f>ROUNDDOWN(I27*VLOOKUP(LEFT(D27,1),テーブル!$D$5:$H$8,IF(H27&lt;=6,4,5),0),0)</f>
        <v>1100</v>
      </c>
    </row>
    <row r="28" spans="1:11" x14ac:dyDescent="0.15">
      <c r="A28" s="41">
        <v>44421</v>
      </c>
      <c r="B28" s="42" t="s">
        <v>24</v>
      </c>
      <c r="C28" s="42" t="str">
        <f>VLOOKUP(B28,テーブル!$A$3:$B$6,2,0)</f>
        <v>マルイ産業</v>
      </c>
      <c r="D28" s="42" t="s">
        <v>81</v>
      </c>
      <c r="E28" s="42" t="str">
        <f>VLOOKUP(LEFT(D28,1),テーブル!$D$5:$H$8,2,0)&amp;RIGHT(D28,2)&amp;"年型"</f>
        <v>ミニバン20年型</v>
      </c>
      <c r="F28" s="43">
        <v>0.33680555555555558</v>
      </c>
      <c r="G28" s="43">
        <v>0.51041666666666663</v>
      </c>
      <c r="H28" s="42">
        <f t="shared" si="0"/>
        <v>5</v>
      </c>
      <c r="I28" s="44">
        <f>INDEX(テーブル!$K$4:$N$6,MATCH(MID(D28,2,1),テーブル!$J$4:$J$6,0),MATCH(LEFT(D28,1),テーブル!$K$3:$N$3,0))*H28</f>
        <v>7650</v>
      </c>
      <c r="J28" s="42">
        <f>ROUND(I28*VLOOKUP(LEFT(D28,1),テーブル!$D$5:$H$8,3,0),-1)</f>
        <v>290</v>
      </c>
      <c r="K28" s="63">
        <f>ROUNDDOWN(I28*VLOOKUP(LEFT(D28,1),テーブル!$D$5:$H$8,IF(H28&lt;=6,4,5),0),0)</f>
        <v>612</v>
      </c>
    </row>
    <row r="29" spans="1:11" x14ac:dyDescent="0.15">
      <c r="A29" s="41">
        <v>44421</v>
      </c>
      <c r="B29" s="42" t="s">
        <v>26</v>
      </c>
      <c r="C29" s="42" t="str">
        <f>VLOOKUP(B29,テーブル!$A$3:$B$6,2,0)</f>
        <v>光通信企画</v>
      </c>
      <c r="D29" s="42" t="s">
        <v>65</v>
      </c>
      <c r="E29" s="42" t="str">
        <f>VLOOKUP(LEFT(D29,1),テーブル!$D$5:$H$8,2,0)&amp;RIGHT(D29,2)&amp;"年型"</f>
        <v>エコカー21年型</v>
      </c>
      <c r="F29" s="43">
        <v>0.2951388888888889</v>
      </c>
      <c r="G29" s="43">
        <v>0.78472222222222221</v>
      </c>
      <c r="H29" s="42">
        <f t="shared" si="0"/>
        <v>12</v>
      </c>
      <c r="I29" s="44">
        <f>INDEX(テーブル!$K$4:$N$6,MATCH(MID(D29,2,1),テーブル!$J$4:$J$6,0),MATCH(LEFT(D29,1),テーブル!$K$3:$N$3,0))*H29</f>
        <v>15720</v>
      </c>
      <c r="J29" s="42">
        <f>ROUND(I29*VLOOKUP(LEFT(D29,1),テーブル!$D$5:$H$8,3,0),-1)</f>
        <v>570</v>
      </c>
      <c r="K29" s="63">
        <f>ROUNDDOWN(I29*VLOOKUP(LEFT(D29,1),テーブル!$D$5:$H$8,IF(H29&lt;=6,4,5),0),0)</f>
        <v>1100</v>
      </c>
    </row>
    <row r="30" spans="1:11" x14ac:dyDescent="0.15">
      <c r="A30" s="41">
        <v>44428</v>
      </c>
      <c r="B30" s="42" t="s">
        <v>20</v>
      </c>
      <c r="C30" s="42" t="str">
        <f>VLOOKUP(B30,テーブル!$A$3:$B$6,2,0)</f>
        <v>新東海商事</v>
      </c>
      <c r="D30" s="42" t="s">
        <v>84</v>
      </c>
      <c r="E30" s="42" t="str">
        <f>VLOOKUP(LEFT(D30,1),テーブル!$D$5:$H$8,2,0)&amp;RIGHT(D30,2)&amp;"年型"</f>
        <v>コンパクト19年型</v>
      </c>
      <c r="F30" s="43">
        <v>0.34375</v>
      </c>
      <c r="G30" s="43">
        <v>0.68055555555555547</v>
      </c>
      <c r="H30" s="42">
        <f t="shared" si="0"/>
        <v>9</v>
      </c>
      <c r="I30" s="44">
        <f>INDEX(テーブル!$K$4:$N$6,MATCH(MID(D30,2,1),テーブル!$J$4:$J$6,0),MATCH(LEFT(D30,1),テーブル!$K$3:$N$3,0))*H30</f>
        <v>7740</v>
      </c>
      <c r="J30" s="42">
        <f>ROUND(I30*VLOOKUP(LEFT(D30,1),テーブル!$D$5:$H$8,3,0),-1)</f>
        <v>250</v>
      </c>
      <c r="K30" s="63">
        <f>ROUNDDOWN(I30*VLOOKUP(LEFT(D30,1),テーブル!$D$5:$H$8,IF(H30&lt;=6,4,5),0),0)</f>
        <v>232</v>
      </c>
    </row>
    <row r="31" spans="1:11" x14ac:dyDescent="0.15">
      <c r="A31" s="41">
        <v>44428</v>
      </c>
      <c r="B31" s="42" t="s">
        <v>23</v>
      </c>
      <c r="C31" s="42" t="str">
        <f>VLOOKUP(B31,テーブル!$A$3:$B$6,2,0)</f>
        <v>ＡＧＳ総業</v>
      </c>
      <c r="D31" s="42" t="s">
        <v>62</v>
      </c>
      <c r="E31" s="42" t="str">
        <f>VLOOKUP(LEFT(D31,1),テーブル!$D$5:$H$8,2,0)&amp;RIGHT(D31,2)&amp;"年型"</f>
        <v>乗用車21年型</v>
      </c>
      <c r="F31" s="43">
        <v>0.72222222222222221</v>
      </c>
      <c r="G31" s="43">
        <v>0.79513888888888884</v>
      </c>
      <c r="H31" s="42">
        <f t="shared" si="0"/>
        <v>2</v>
      </c>
      <c r="I31" s="44">
        <f>INDEX(テーブル!$K$4:$N$6,MATCH(MID(D31,2,1),テーブル!$J$4:$J$6,0),MATCH(LEFT(D31,1),テーブル!$K$3:$N$3,0))*H31</f>
        <v>1880</v>
      </c>
      <c r="J31" s="42">
        <f>ROUND(I31*VLOOKUP(LEFT(D31,1),テーブル!$D$5:$H$8,3,0),-1)</f>
        <v>60</v>
      </c>
      <c r="K31" s="63">
        <f>ROUNDDOWN(I31*VLOOKUP(LEFT(D31,1),テーブル!$D$5:$H$8,IF(H31&lt;=6,4,5),0),0)</f>
        <v>75</v>
      </c>
    </row>
    <row r="32" spans="1:11" x14ac:dyDescent="0.15">
      <c r="A32" s="41">
        <v>44428</v>
      </c>
      <c r="B32" s="42" t="s">
        <v>24</v>
      </c>
      <c r="C32" s="42" t="str">
        <f>VLOOKUP(B32,テーブル!$A$3:$B$6,2,0)</f>
        <v>マルイ産業</v>
      </c>
      <c r="D32" s="42" t="s">
        <v>88</v>
      </c>
      <c r="E32" s="42" t="str">
        <f>VLOOKUP(LEFT(D32,1),テーブル!$D$5:$H$8,2,0)&amp;RIGHT(D32,2)&amp;"年型"</f>
        <v>エコカー19年型</v>
      </c>
      <c r="F32" s="43">
        <v>0.61805555555555558</v>
      </c>
      <c r="G32" s="43">
        <v>0.70486111111111116</v>
      </c>
      <c r="H32" s="42">
        <f t="shared" si="0"/>
        <v>3</v>
      </c>
      <c r="I32" s="44">
        <f>INDEX(テーブル!$K$4:$N$6,MATCH(MID(D32,2,1),テーブル!$J$4:$J$6,0),MATCH(LEFT(D32,1),テーブル!$K$3:$N$3,0))*H32</f>
        <v>3600</v>
      </c>
      <c r="J32" s="42">
        <f>ROUND(I32*VLOOKUP(LEFT(D32,1),テーブル!$D$5:$H$8,3,0),-1)</f>
        <v>130</v>
      </c>
      <c r="K32" s="63">
        <f>ROUNDDOWN(I32*VLOOKUP(LEFT(D32,1),テーブル!$D$5:$H$8,IF(H32&lt;=6,4,5),0),0)</f>
        <v>216</v>
      </c>
    </row>
    <row r="33" spans="1:11" x14ac:dyDescent="0.15">
      <c r="A33" s="41">
        <v>44428</v>
      </c>
      <c r="B33" s="42" t="s">
        <v>26</v>
      </c>
      <c r="C33" s="42" t="str">
        <f>VLOOKUP(B33,テーブル!$A$3:$B$6,2,0)</f>
        <v>光通信企画</v>
      </c>
      <c r="D33" s="42" t="s">
        <v>66</v>
      </c>
      <c r="E33" s="42" t="str">
        <f>VLOOKUP(LEFT(D33,1),テーブル!$D$5:$H$8,2,0)&amp;RIGHT(D33,2)&amp;"年型"</f>
        <v>エコカー21年型</v>
      </c>
      <c r="F33" s="43">
        <v>0.53472222222222221</v>
      </c>
      <c r="G33" s="43">
        <v>0.62847222222222221</v>
      </c>
      <c r="H33" s="42">
        <f t="shared" si="0"/>
        <v>3</v>
      </c>
      <c r="I33" s="44">
        <f>INDEX(テーブル!$K$4:$N$6,MATCH(MID(D33,2,1),テーブル!$J$4:$J$6,0),MATCH(LEFT(D33,1),テーブル!$K$3:$N$3,0))*H33</f>
        <v>4260</v>
      </c>
      <c r="J33" s="42">
        <f>ROUND(I33*VLOOKUP(LEFT(D33,1),テーブル!$D$5:$H$8,3,0),-1)</f>
        <v>150</v>
      </c>
      <c r="K33" s="63">
        <f>ROUNDDOWN(I33*VLOOKUP(LEFT(D33,1),テーブル!$D$5:$H$8,IF(H33&lt;=6,4,5),0),0)</f>
        <v>255</v>
      </c>
    </row>
    <row r="34" spans="1:11" x14ac:dyDescent="0.15">
      <c r="A34" s="41">
        <v>44435</v>
      </c>
      <c r="B34" s="42" t="s">
        <v>20</v>
      </c>
      <c r="C34" s="42" t="str">
        <f>VLOOKUP(B34,テーブル!$A$3:$B$6,2,0)</f>
        <v>新東海商事</v>
      </c>
      <c r="D34" s="42" t="s">
        <v>61</v>
      </c>
      <c r="E34" s="42" t="str">
        <f>VLOOKUP(LEFT(D34,1),テーブル!$D$5:$H$8,2,0)&amp;RIGHT(D34,2)&amp;"年型"</f>
        <v>乗用車21年型</v>
      </c>
      <c r="F34" s="43">
        <v>0.31597222222222221</v>
      </c>
      <c r="G34" s="43">
        <v>0.48958333333333331</v>
      </c>
      <c r="H34" s="42">
        <f t="shared" si="0"/>
        <v>5</v>
      </c>
      <c r="I34" s="44">
        <f>INDEX(テーブル!$K$4:$N$6,MATCH(MID(D34,2,1),テーブル!$J$4:$J$6,0),MATCH(LEFT(D34,1),テーブル!$K$3:$N$3,0))*H34</f>
        <v>4250</v>
      </c>
      <c r="J34" s="42">
        <f>ROUND(I34*VLOOKUP(LEFT(D34,1),テーブル!$D$5:$H$8,3,0),-1)</f>
        <v>140</v>
      </c>
      <c r="K34" s="63">
        <f>ROUNDDOWN(I34*VLOOKUP(LEFT(D34,1),テーブル!$D$5:$H$8,IF(H34&lt;=6,4,5),0),0)</f>
        <v>170</v>
      </c>
    </row>
    <row r="35" spans="1:11" x14ac:dyDescent="0.15">
      <c r="A35" s="41">
        <v>44435</v>
      </c>
      <c r="B35" s="42" t="s">
        <v>23</v>
      </c>
      <c r="C35" s="42" t="str">
        <f>VLOOKUP(B35,テーブル!$A$3:$B$6,2,0)</f>
        <v>ＡＧＳ総業</v>
      </c>
      <c r="D35" s="42" t="s">
        <v>91</v>
      </c>
      <c r="E35" s="42" t="str">
        <f>VLOOKUP(LEFT(D35,1),テーブル!$D$5:$H$8,2,0)&amp;RIGHT(D35,2)&amp;"年型"</f>
        <v>ミニバン19年型</v>
      </c>
      <c r="F35" s="43">
        <v>0.38541666666666669</v>
      </c>
      <c r="G35" s="43">
        <v>0.42708333333333331</v>
      </c>
      <c r="H35" s="42">
        <f t="shared" si="0"/>
        <v>1</v>
      </c>
      <c r="I35" s="44">
        <f>INDEX(テーブル!$K$4:$N$6,MATCH(MID(D35,2,1),テーブル!$J$4:$J$6,0),MATCH(LEFT(D35,1),テーブル!$K$3:$N$3,0))*H35</f>
        <v>1260</v>
      </c>
      <c r="J35" s="42">
        <f>ROUND(I35*VLOOKUP(LEFT(D35,1),テーブル!$D$5:$H$8,3,0),-1)</f>
        <v>50</v>
      </c>
      <c r="K35" s="63">
        <f>ROUNDDOWN(I35*VLOOKUP(LEFT(D35,1),テーブル!$D$5:$H$8,IF(H35&lt;=6,4,5),0),0)</f>
        <v>100</v>
      </c>
    </row>
    <row r="36" spans="1:11" x14ac:dyDescent="0.15">
      <c r="A36" s="41">
        <v>44435</v>
      </c>
      <c r="B36" s="42" t="s">
        <v>24</v>
      </c>
      <c r="C36" s="42" t="str">
        <f>VLOOKUP(B36,テーブル!$A$3:$B$6,2,0)</f>
        <v>マルイ産業</v>
      </c>
      <c r="D36" s="42" t="s">
        <v>83</v>
      </c>
      <c r="E36" s="42" t="str">
        <f>VLOOKUP(LEFT(D36,1),テーブル!$D$5:$H$8,2,0)&amp;RIGHT(D36,2)&amp;"年型"</f>
        <v>コンパクト19年型</v>
      </c>
      <c r="F36" s="43">
        <v>0.3611111111111111</v>
      </c>
      <c r="G36" s="43">
        <v>0.8125</v>
      </c>
      <c r="H36" s="42">
        <f t="shared" si="0"/>
        <v>11</v>
      </c>
      <c r="I36" s="44">
        <f>INDEX(テーブル!$K$4:$N$6,MATCH(MID(D36,2,1),テーブル!$J$4:$J$6,0),MATCH(LEFT(D36,1),テーブル!$K$3:$N$3,0))*H36</f>
        <v>8690</v>
      </c>
      <c r="J36" s="42">
        <f>ROUND(I36*VLOOKUP(LEFT(D36,1),テーブル!$D$5:$H$8,3,0),-1)</f>
        <v>280</v>
      </c>
      <c r="K36" s="63">
        <f>ROUNDDOWN(I36*VLOOKUP(LEFT(D36,1),テーブル!$D$5:$H$8,IF(H36&lt;=6,4,5),0),0)</f>
        <v>260</v>
      </c>
    </row>
    <row r="37" spans="1:11" x14ac:dyDescent="0.15">
      <c r="A37" s="41">
        <v>44435</v>
      </c>
      <c r="B37" s="42" t="s">
        <v>26</v>
      </c>
      <c r="C37" s="42" t="str">
        <f>VLOOKUP(B37,テーブル!$A$3:$B$6,2,0)</f>
        <v>光通信企画</v>
      </c>
      <c r="D37" s="42" t="s">
        <v>70</v>
      </c>
      <c r="E37" s="42" t="str">
        <f>VLOOKUP(LEFT(D37,1),テーブル!$D$5:$H$8,2,0)&amp;RIGHT(D37,2)&amp;"年型"</f>
        <v>コンパクト20年型</v>
      </c>
      <c r="F37" s="43">
        <v>0.3263888888888889</v>
      </c>
      <c r="G37" s="43">
        <v>0.46180555555555558</v>
      </c>
      <c r="H37" s="42">
        <f t="shared" si="0"/>
        <v>4</v>
      </c>
      <c r="I37" s="44">
        <f>INDEX(テーブル!$K$4:$N$6,MATCH(MID(D37,2,1),テーブル!$J$4:$J$6,0),MATCH(LEFT(D37,1),テーブル!$K$3:$N$3,0))*H37</f>
        <v>2880</v>
      </c>
      <c r="J37" s="42">
        <f>ROUND(I37*VLOOKUP(LEFT(D37,1),テーブル!$D$5:$H$8,3,0),-1)</f>
        <v>90</v>
      </c>
      <c r="K37" s="63">
        <f>ROUNDDOWN(I37*VLOOKUP(LEFT(D37,1),テーブル!$D$5:$H$8,IF(H37&lt;=6,4,5),0),0)</f>
        <v>57</v>
      </c>
    </row>
    <row r="38" spans="1:11" x14ac:dyDescent="0.15">
      <c r="A38" s="46"/>
      <c r="B38" s="42"/>
      <c r="C38" s="42"/>
      <c r="D38" s="42"/>
      <c r="E38" s="42"/>
      <c r="F38" s="42"/>
      <c r="G38" s="42"/>
      <c r="H38" s="42"/>
      <c r="I38" s="42"/>
      <c r="J38" s="42"/>
      <c r="K38" s="45"/>
    </row>
    <row r="39" spans="1:11" ht="14.25" thickBot="1" x14ac:dyDescent="0.2">
      <c r="A39" s="47"/>
      <c r="B39" s="48"/>
      <c r="C39" s="49" t="s">
        <v>0</v>
      </c>
      <c r="D39" s="48"/>
      <c r="E39" s="48"/>
      <c r="F39" s="48"/>
      <c r="G39" s="48"/>
      <c r="H39" s="48">
        <f>SUM(H2:H37)</f>
        <v>280</v>
      </c>
      <c r="I39" s="50">
        <f t="shared" ref="I39:K39" si="1">SUM(I2:I37)</f>
        <v>303970</v>
      </c>
      <c r="J39" s="50">
        <f t="shared" si="1"/>
        <v>10690</v>
      </c>
      <c r="K39" s="51">
        <f t="shared" si="1"/>
        <v>18096</v>
      </c>
    </row>
    <row r="41" spans="1:11" x14ac:dyDescent="0.15">
      <c r="I41" s="20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D4D91-00D8-472F-A1DC-CA890DF5890C}">
  <dimension ref="A1:W22"/>
  <sheetViews>
    <sheetView zoomScaleNormal="100" workbookViewId="0">
      <selection sqref="A1:G1"/>
    </sheetView>
  </sheetViews>
  <sheetFormatPr defaultRowHeight="13.5" x14ac:dyDescent="0.15"/>
  <cols>
    <col min="1" max="1" width="7.5" bestFit="1" customWidth="1"/>
    <col min="2" max="2" width="11.625" bestFit="1" customWidth="1"/>
    <col min="3" max="3" width="9.5" bestFit="1" customWidth="1"/>
    <col min="4" max="5" width="7.5" bestFit="1" customWidth="1"/>
    <col min="6" max="6" width="8.5" bestFit="1" customWidth="1"/>
    <col min="7" max="7" width="7.5" bestFit="1" customWidth="1"/>
    <col min="8" max="8" width="4.5" customWidth="1"/>
    <col min="9" max="9" width="12.75" bestFit="1" customWidth="1"/>
    <col min="10" max="10" width="11.625" bestFit="1" customWidth="1"/>
    <col min="11" max="12" width="10.5" bestFit="1" customWidth="1"/>
    <col min="13" max="14" width="9.5" customWidth="1"/>
    <col min="15" max="15" width="4.375" customWidth="1"/>
    <col min="16" max="16" width="12.75" bestFit="1" customWidth="1"/>
    <col min="17" max="17" width="8.5" bestFit="1" customWidth="1"/>
    <col min="18" max="18" width="10.5" bestFit="1" customWidth="1"/>
    <col min="19" max="19" width="7.5" bestFit="1" customWidth="1"/>
    <col min="20" max="20" width="4.375" customWidth="1"/>
    <col min="21" max="21" width="48.25" bestFit="1" customWidth="1"/>
    <col min="22" max="22" width="11.625" bestFit="1" customWidth="1"/>
    <col min="23" max="23" width="7.5" bestFit="1" customWidth="1"/>
  </cols>
  <sheetData>
    <row r="1" spans="1:23" ht="14.25" thickBot="1" x14ac:dyDescent="0.2">
      <c r="A1" s="61" t="s">
        <v>109</v>
      </c>
      <c r="B1" s="61"/>
      <c r="C1" s="61"/>
      <c r="D1" s="61"/>
      <c r="E1" s="61"/>
      <c r="F1" s="61"/>
      <c r="G1" s="61"/>
      <c r="I1" s="62" t="s">
        <v>3</v>
      </c>
      <c r="J1" s="62"/>
      <c r="K1" s="62"/>
      <c r="L1" s="62"/>
      <c r="M1" s="62"/>
      <c r="N1" s="62"/>
      <c r="P1" s="62" t="s">
        <v>101</v>
      </c>
      <c r="Q1" s="62"/>
      <c r="R1" s="62"/>
      <c r="S1" s="62"/>
    </row>
    <row r="2" spans="1:23" x14ac:dyDescent="0.15">
      <c r="A2" s="5" t="s">
        <v>5</v>
      </c>
      <c r="B2" s="6" t="s">
        <v>6</v>
      </c>
      <c r="C2" s="6" t="s">
        <v>12</v>
      </c>
      <c r="D2" s="6" t="s">
        <v>13</v>
      </c>
      <c r="E2" s="6" t="s">
        <v>1</v>
      </c>
      <c r="F2" s="6" t="s">
        <v>2</v>
      </c>
      <c r="G2" s="7" t="s">
        <v>15</v>
      </c>
      <c r="I2" s="17"/>
      <c r="J2" s="52" t="s">
        <v>54</v>
      </c>
      <c r="K2" s="6" t="s">
        <v>17</v>
      </c>
      <c r="L2" s="6" t="s">
        <v>18</v>
      </c>
      <c r="M2" s="6" t="s">
        <v>19</v>
      </c>
      <c r="N2" s="7" t="s">
        <v>107</v>
      </c>
      <c r="O2" s="22"/>
      <c r="P2" s="5" t="s">
        <v>96</v>
      </c>
      <c r="Q2" s="6" t="s">
        <v>98</v>
      </c>
      <c r="R2" s="6" t="s">
        <v>99</v>
      </c>
      <c r="S2" s="7" t="s">
        <v>100</v>
      </c>
      <c r="U2" s="17" t="s">
        <v>37</v>
      </c>
      <c r="V2" s="36">
        <f>DSUM(料金データ表!$A$1:$K$37,9,V6:W7)</f>
        <v>112420</v>
      </c>
    </row>
    <row r="3" spans="1:23" x14ac:dyDescent="0.15">
      <c r="A3" s="8" t="s">
        <v>24</v>
      </c>
      <c r="B3" s="2" t="str">
        <f>VLOOKUP(A3,テーブル!$A$3:$B$6,2,0)</f>
        <v>マルイ産業</v>
      </c>
      <c r="C3" s="3">
        <f>DSUM(料金データ表!$A$1:$K$37,C$2,$C$10:$C$11)</f>
        <v>85060</v>
      </c>
      <c r="D3" s="3">
        <f>DSUM(料金データ表!$A$1:$K$37,D$2,$C$10:$C$11)</f>
        <v>3050</v>
      </c>
      <c r="E3" s="3">
        <f>DSUM(料金データ表!$A$1:$K$37,E$2,$C$10:$C$11)</f>
        <v>5670</v>
      </c>
      <c r="F3" s="3">
        <f>C3+D3-E3</f>
        <v>82440</v>
      </c>
      <c r="G3" s="14">
        <f>ROUNDUP(F3*VLOOKUP(RIGHT(A3,1),テーブル!$P$3:$Q$5,2,0),0)</f>
        <v>1237</v>
      </c>
      <c r="I3" s="8" t="s">
        <v>12</v>
      </c>
      <c r="J3" s="29">
        <f>DSUM(料金データ表!$A$1:$K$37,$I3,$I$7:$I$8)</f>
        <v>65920</v>
      </c>
      <c r="K3" s="29">
        <f>DSUM(料金データ表!$A$1:$K$37,$I3,$J$7:$J$8)</f>
        <v>69400</v>
      </c>
      <c r="L3" s="29">
        <f>DSUM(料金データ表!$A$1:$K$37,$I3,$K$7:$K$8)</f>
        <v>90500</v>
      </c>
      <c r="M3" s="29">
        <f>DSUM(料金データ表!$A$1:$K$37,$I3,$L$7:$L$8)</f>
        <v>78150</v>
      </c>
      <c r="N3" s="30">
        <f>SUM(J3:M3)</f>
        <v>303970</v>
      </c>
      <c r="O3" s="28"/>
      <c r="P3" s="8" t="s">
        <v>54</v>
      </c>
      <c r="Q3" s="32">
        <f>AVERAGEIFS(料金データ表!$H$2:$H$37,料金データ表!$E$2:$E$37,$P3 &amp; "*",料金データ表!$E$2:$E$37,"*" &amp; Q$2)</f>
        <v>10.333333333333334</v>
      </c>
      <c r="R3" s="32">
        <f>AVERAGEIFS(料金データ表!$H$2:$H$37,料金データ表!$E$2:$E$37,$P3 &amp; "*",料金データ表!$E$2:$E$37,"*" &amp; R$2)</f>
        <v>6.666666666666667</v>
      </c>
      <c r="S3" s="33">
        <f>AVERAGEIFS(料金データ表!$H$2:$H$37,料金データ表!$E$2:$E$37,$P3 &amp; "*",料金データ表!$E$2:$E$37,"*" &amp; S$2)</f>
        <v>10.666666666666666</v>
      </c>
      <c r="U3" s="8" t="s">
        <v>40</v>
      </c>
      <c r="V3" s="9">
        <f>DCOUNTA(料金データ表!$A$1:$K$37,2,V8:W9)</f>
        <v>10</v>
      </c>
    </row>
    <row r="4" spans="1:23" ht="14.25" thickBot="1" x14ac:dyDescent="0.2">
      <c r="A4" s="8" t="s">
        <v>26</v>
      </c>
      <c r="B4" s="2" t="str">
        <f>VLOOKUP(A4,テーブル!$A$3:$B$6,2,0)</f>
        <v>光通信企画</v>
      </c>
      <c r="C4" s="3">
        <f>DSUM(料金データ表!$A$1:$K$37,C$2,$D$10:$D$11)</f>
        <v>80850</v>
      </c>
      <c r="D4" s="3">
        <f>DSUM(料金データ表!$A$1:$K$37,D$2,$D$10:$D$11)</f>
        <v>2820</v>
      </c>
      <c r="E4" s="3">
        <f>DSUM(料金データ表!$A$1:$K$37,E$2,$D$10:$D$11)</f>
        <v>4539</v>
      </c>
      <c r="F4" s="3">
        <f>C4+D4-E4</f>
        <v>79131</v>
      </c>
      <c r="G4" s="14">
        <f>ROUNDUP(F4*VLOOKUP(RIGHT(A4,1),テーブル!$P$3:$Q$5,2,0),0)</f>
        <v>1662</v>
      </c>
      <c r="I4" s="8" t="s">
        <v>13</v>
      </c>
      <c r="J4" s="29">
        <f>DSUM(料金データ表!$A$1:$K$37,$I4,$I$7:$I$8)</f>
        <v>2110</v>
      </c>
      <c r="K4" s="29">
        <f>DSUM(料金データ表!$A$1:$K$37,$I4,$J$7:$J$8)</f>
        <v>2340</v>
      </c>
      <c r="L4" s="29">
        <f>DSUM(料金データ表!$A$1:$K$37,$I4,$K$7:$K$8)</f>
        <v>3270</v>
      </c>
      <c r="M4" s="29">
        <f>DSUM(料金データ表!$A$1:$K$37,$I4,$L$7:$L$8)</f>
        <v>2970</v>
      </c>
      <c r="N4" s="30">
        <f>SUM(J4:M4)</f>
        <v>10690</v>
      </c>
      <c r="O4" s="28"/>
      <c r="P4" s="8" t="s">
        <v>17</v>
      </c>
      <c r="Q4" s="32">
        <f>AVERAGEIFS(料金データ表!$H$2:$H$37,料金データ表!$E$2:$E$37,$P4 &amp; "*",料金データ表!$E$2:$E$37,"*" &amp; Q$2)</f>
        <v>8</v>
      </c>
      <c r="R4" s="32">
        <f>AVERAGEIFS(料金データ表!$H$2:$H$37,料金データ表!$E$2:$E$37,$P4 &amp; "*",料金データ表!$E$2:$E$37,"*" &amp; R$2)</f>
        <v>9.6666666666666661</v>
      </c>
      <c r="S4" s="33">
        <f>AVERAGEIFS(料金データ表!$H$2:$H$37,料金データ表!$E$2:$E$37,$P4 &amp; "*",料金データ表!$E$2:$E$37,"*" &amp; S$2)</f>
        <v>6.333333333333333</v>
      </c>
      <c r="U4" s="10" t="s">
        <v>41</v>
      </c>
      <c r="V4" s="19" t="str">
        <f>DGET(料金データ表!A1:K37,3,V10:V11)</f>
        <v>マルイ産業</v>
      </c>
    </row>
    <row r="5" spans="1:23" ht="14.25" thickBot="1" x14ac:dyDescent="0.2">
      <c r="A5" s="8" t="s">
        <v>23</v>
      </c>
      <c r="B5" s="2" t="str">
        <f>VLOOKUP(A5,テーブル!$A$3:$B$6,2,0)</f>
        <v>ＡＧＳ総業</v>
      </c>
      <c r="C5" s="3">
        <f>DSUM(料金データ表!$A$1:$K$37,C$2,$B$10:$B$11)</f>
        <v>74160</v>
      </c>
      <c r="D5" s="3">
        <f>DSUM(料金データ表!$A$1:$K$37,D$2,$B$10:$B$11)</f>
        <v>2640</v>
      </c>
      <c r="E5" s="3">
        <f>DSUM(料金データ表!$A$1:$K$37,E$2,$B$10:$B$11)</f>
        <v>4739</v>
      </c>
      <c r="F5" s="3">
        <f>C5+D5-E5</f>
        <v>72061</v>
      </c>
      <c r="G5" s="14">
        <f>ROUNDUP(F5*VLOOKUP(RIGHT(A5,1),テーブル!$P$3:$Q$5,2,0),0)</f>
        <v>1514</v>
      </c>
      <c r="I5" s="10" t="s">
        <v>1</v>
      </c>
      <c r="J5" s="37">
        <f>DSUM(料金データ表!$A$1:$K$37,$I5,$I$7:$I$8)</f>
        <v>1897</v>
      </c>
      <c r="K5" s="37">
        <f>DSUM(料金データ表!$A$1:$K$37,$I5,$J$7:$J$8)</f>
        <v>3262</v>
      </c>
      <c r="L5" s="37">
        <f>DSUM(料金データ表!$A$1:$K$37,$I5,$K$7:$K$8)</f>
        <v>6194</v>
      </c>
      <c r="M5" s="37">
        <f>DSUM(料金データ表!$A$1:$K$37,$I5,$L$7:$L$8)</f>
        <v>6743</v>
      </c>
      <c r="N5" s="31">
        <f>SUM(J5:M5)</f>
        <v>18096</v>
      </c>
      <c r="O5" s="28"/>
      <c r="P5" s="8" t="s">
        <v>18</v>
      </c>
      <c r="Q5" s="32">
        <f>AVERAGEIFS(料金データ表!$H$2:$H$37,料金データ表!$E$2:$E$37,$P5 &amp; "*",料金データ表!$E$2:$E$37,"*" &amp; Q$2)</f>
        <v>7.333333333333333</v>
      </c>
      <c r="R5" s="32">
        <f>AVERAGEIFS(料金データ表!$H$2:$H$37,料金データ表!$E$2:$E$37,$P5 &amp; "*",料金データ表!$E$2:$E$37,"*" &amp; R$2)</f>
        <v>9</v>
      </c>
      <c r="S5" s="33">
        <f>AVERAGEIFS(料金データ表!$H$2:$H$37,料金データ表!$E$2:$E$37,$P5 &amp; "*",料金データ表!$E$2:$E$37,"*" &amp; S$2)</f>
        <v>6.666666666666667</v>
      </c>
    </row>
    <row r="6" spans="1:23" ht="14.25" thickBot="1" x14ac:dyDescent="0.2">
      <c r="A6" s="8" t="s">
        <v>20</v>
      </c>
      <c r="B6" s="2" t="str">
        <f>VLOOKUP(A6,テーブル!$A$3:$B$6,2,0)</f>
        <v>新東海商事</v>
      </c>
      <c r="C6" s="3">
        <f>DSUM(料金データ表!$A$1:$K$37,C$2,$A$10:$A$11)</f>
        <v>63900</v>
      </c>
      <c r="D6" s="3">
        <f>DSUM(料金データ表!$A$1:$K$37,D$2,$A$10:$A$11)</f>
        <v>2180</v>
      </c>
      <c r="E6" s="3">
        <f>DSUM(料金データ表!$A$1:$K$37,E$2,$A$10:$A$11)</f>
        <v>3148</v>
      </c>
      <c r="F6" s="3">
        <f>C6+D6-E6</f>
        <v>62932</v>
      </c>
      <c r="G6" s="14">
        <f>ROUNDUP(F6*VLOOKUP(RIGHT(A6,1),テーブル!$P$3:$Q$5,2,0),0)</f>
        <v>1133</v>
      </c>
      <c r="P6" s="10" t="s">
        <v>19</v>
      </c>
      <c r="Q6" s="34">
        <f>AVERAGEIFS(料金データ表!$H$2:$H$37,料金データ表!$E$2:$E$37,$P6 &amp; "*",料金データ表!$E$2:$E$37,"*" &amp; Q$2)</f>
        <v>5.666666666666667</v>
      </c>
      <c r="R6" s="34">
        <f>AVERAGEIFS(料金データ表!$H$2:$H$37,料金データ表!$E$2:$E$37,$P6 &amp; "*",料金データ表!$E$2:$E$37,"*" &amp; R$2)</f>
        <v>5.666666666666667</v>
      </c>
      <c r="S6" s="35">
        <f>AVERAGEIFS(料金データ表!$H$2:$H$37,料金データ表!$E$2:$E$37,$P6 &amp; "*",料金データ表!$E$2:$E$37,"*" &amp; S$2)</f>
        <v>7.333333333333333</v>
      </c>
      <c r="V6" s="5" t="s">
        <v>34</v>
      </c>
      <c r="W6" s="7" t="s">
        <v>34</v>
      </c>
    </row>
    <row r="7" spans="1:23" ht="14.25" thickBot="1" x14ac:dyDescent="0.2">
      <c r="A7" s="8"/>
      <c r="B7" s="2"/>
      <c r="C7" s="2"/>
      <c r="D7" s="2"/>
      <c r="E7" s="2"/>
      <c r="F7" s="2"/>
      <c r="G7" s="9"/>
      <c r="I7" s="12" t="s">
        <v>8</v>
      </c>
      <c r="J7" s="12" t="s">
        <v>8</v>
      </c>
      <c r="K7" s="12" t="s">
        <v>8</v>
      </c>
      <c r="L7" s="12" t="s">
        <v>8</v>
      </c>
      <c r="V7" s="10" t="s">
        <v>35</v>
      </c>
      <c r="W7" s="19" t="s">
        <v>36</v>
      </c>
    </row>
    <row r="8" spans="1:23" ht="14.25" thickBot="1" x14ac:dyDescent="0.2">
      <c r="A8" s="10"/>
      <c r="B8" s="11" t="s">
        <v>0</v>
      </c>
      <c r="C8" s="15">
        <f>SUM(C3:C6)</f>
        <v>303970</v>
      </c>
      <c r="D8" s="15">
        <f>SUM(D3:D6)</f>
        <v>10690</v>
      </c>
      <c r="E8" s="15">
        <f>SUM(E3:E6)</f>
        <v>18096</v>
      </c>
      <c r="F8" s="15">
        <f>SUM(F3:F6)</f>
        <v>296564</v>
      </c>
      <c r="G8" s="16">
        <f>SUM(G3:G6)</f>
        <v>5546</v>
      </c>
      <c r="I8" s="13" t="s">
        <v>97</v>
      </c>
      <c r="J8" s="13" t="s">
        <v>29</v>
      </c>
      <c r="K8" s="13" t="s">
        <v>30</v>
      </c>
      <c r="L8" s="13" t="s">
        <v>31</v>
      </c>
      <c r="P8" s="22"/>
      <c r="Q8" s="22"/>
      <c r="R8" s="22"/>
      <c r="S8" s="53"/>
      <c r="V8" s="5" t="s">
        <v>38</v>
      </c>
      <c r="W8" s="7" t="s">
        <v>13</v>
      </c>
    </row>
    <row r="9" spans="1:23" ht="14.25" thickBot="1" x14ac:dyDescent="0.2">
      <c r="P9" s="53"/>
      <c r="Q9" s="53"/>
      <c r="R9" s="53"/>
      <c r="S9" s="53"/>
      <c r="V9" s="54" t="s">
        <v>39</v>
      </c>
      <c r="W9" s="19" t="s">
        <v>106</v>
      </c>
    </row>
    <row r="10" spans="1:23" x14ac:dyDescent="0.15">
      <c r="A10" s="12" t="s">
        <v>5</v>
      </c>
      <c r="B10" s="12" t="s">
        <v>5</v>
      </c>
      <c r="C10" s="12" t="s">
        <v>5</v>
      </c>
      <c r="D10" s="12" t="s">
        <v>5</v>
      </c>
      <c r="P10" s="22"/>
      <c r="Q10" s="22"/>
      <c r="R10" s="22"/>
      <c r="S10" s="53"/>
      <c r="V10" s="55" t="s">
        <v>108</v>
      </c>
    </row>
    <row r="11" spans="1:23" ht="14.25" thickBot="1" x14ac:dyDescent="0.2">
      <c r="A11" s="13" t="s">
        <v>20</v>
      </c>
      <c r="B11" s="13" t="s">
        <v>23</v>
      </c>
      <c r="C11" s="13" t="s">
        <v>24</v>
      </c>
      <c r="D11" s="13" t="s">
        <v>26</v>
      </c>
      <c r="F11" s="21"/>
      <c r="P11" s="53"/>
      <c r="Q11" s="53"/>
      <c r="R11" s="53"/>
      <c r="S11" s="53"/>
      <c r="V11" s="56">
        <f>MAX(料金データ表!G2:G37)</f>
        <v>0.92013888888888895</v>
      </c>
    </row>
    <row r="12" spans="1:23" x14ac:dyDescent="0.15">
      <c r="P12" s="22"/>
      <c r="Q12" s="22"/>
      <c r="R12" s="22"/>
      <c r="S12" s="53"/>
    </row>
    <row r="13" spans="1:23" x14ac:dyDescent="0.15">
      <c r="P13" s="53"/>
      <c r="Q13" s="53"/>
      <c r="R13" s="53"/>
      <c r="S13" s="53"/>
    </row>
    <row r="14" spans="1:23" x14ac:dyDescent="0.15">
      <c r="P14" s="22"/>
      <c r="Q14" s="22"/>
      <c r="R14" s="22"/>
      <c r="S14" s="53"/>
    </row>
    <row r="15" spans="1:23" x14ac:dyDescent="0.15">
      <c r="P15" s="53"/>
      <c r="Q15" s="53"/>
      <c r="R15" s="53"/>
      <c r="S15" s="53"/>
    </row>
    <row r="16" spans="1:23" x14ac:dyDescent="0.15">
      <c r="P16" s="22"/>
      <c r="Q16" s="22"/>
      <c r="R16" s="22"/>
      <c r="S16" s="53"/>
    </row>
    <row r="17" spans="16:19" x14ac:dyDescent="0.15">
      <c r="P17" s="53"/>
      <c r="Q17" s="53"/>
      <c r="R17" s="53"/>
      <c r="S17" s="53"/>
    </row>
    <row r="18" spans="16:19" x14ac:dyDescent="0.15">
      <c r="P18" s="22"/>
      <c r="Q18" s="22"/>
      <c r="R18" s="22"/>
      <c r="S18" s="53"/>
    </row>
    <row r="19" spans="16:19" x14ac:dyDescent="0.15">
      <c r="P19" s="53"/>
      <c r="Q19" s="53"/>
      <c r="R19" s="53"/>
      <c r="S19" s="53"/>
    </row>
    <row r="20" spans="16:19" x14ac:dyDescent="0.15">
      <c r="P20" s="53"/>
      <c r="Q20" s="53"/>
      <c r="R20" s="53"/>
      <c r="S20" s="53"/>
    </row>
    <row r="21" spans="16:19" x14ac:dyDescent="0.15">
      <c r="P21" s="53"/>
      <c r="Q21" s="53"/>
      <c r="R21" s="53"/>
      <c r="S21" s="53"/>
    </row>
    <row r="22" spans="16:19" x14ac:dyDescent="0.15">
      <c r="P22" s="53"/>
      <c r="Q22" s="53"/>
      <c r="R22" s="53"/>
      <c r="S22" s="53"/>
    </row>
  </sheetData>
  <sortState xmlns:xlrd2="http://schemas.microsoft.com/office/spreadsheetml/2017/richdata2" ref="A3:G6">
    <sortCondition descending="1" ref="F3:F6"/>
  </sortState>
  <mergeCells count="3">
    <mergeCell ref="A1:G1"/>
    <mergeCell ref="P1:S1"/>
    <mergeCell ref="I1:N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テーブル</vt:lpstr>
      <vt:lpstr>料金データ表</vt:lpstr>
      <vt:lpstr>計算表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Printed>2020-01-16T06:33:43Z</cp:lastPrinted>
  <dcterms:created xsi:type="dcterms:W3CDTF">2019-03-28T01:49:55Z</dcterms:created>
  <dcterms:modified xsi:type="dcterms:W3CDTF">2021-04-01T06:27:43Z</dcterms:modified>
</cp:coreProperties>
</file>