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1_検定問題\2025(令和07)年度\令和07年10月\1表計算\SPS_202510\"/>
    </mc:Choice>
  </mc:AlternateContent>
  <xr:revisionPtr revIDLastSave="0" documentId="13_ncr:1_{A0554CC8-7AF4-443B-AD30-E9916E27442F}" xr6:coauthVersionLast="47" xr6:coauthVersionMax="47" xr10:uidLastSave="{00000000-0000-0000-0000-000000000000}"/>
  <bookViews>
    <workbookView xWindow="-120" yWindow="-120" windowWidth="29040" windowHeight="15720" xr2:uid="{E24031B7-2B0C-48DC-BC5B-70216F80D94D}"/>
  </bookViews>
  <sheets>
    <sheet name="テーブル" sheetId="1" r:id="rId1"/>
    <sheet name="前期" sheetId="3" r:id="rId2"/>
    <sheet name="後期" sheetId="5" r:id="rId3"/>
    <sheet name="計算表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" i="5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" i="3"/>
  <c r="B5" i="4"/>
  <c r="B6" i="4"/>
  <c r="B4" i="4"/>
  <c r="B3" i="4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" i="5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" i="3"/>
  <c r="B6" i="3"/>
  <c r="B7" i="3"/>
  <c r="B8" i="3"/>
  <c r="B9" i="3"/>
  <c r="G6" i="4"/>
  <c r="G5" i="4"/>
  <c r="G4" i="4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G8" i="4"/>
  <c r="G9" i="4"/>
  <c r="G7" i="4"/>
  <c r="B2" i="3"/>
  <c r="B4" i="3"/>
  <c r="B5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3" i="3"/>
  <c r="K9" i="4"/>
  <c r="K4" i="4"/>
  <c r="H9" i="4"/>
  <c r="K7" i="4"/>
  <c r="K5" i="4"/>
  <c r="K6" i="4"/>
  <c r="H7" i="4"/>
  <c r="H8" i="4"/>
  <c r="H4" i="4"/>
  <c r="H6" i="4"/>
  <c r="H5" i="4"/>
  <c r="K8" i="4"/>
  <c r="H3" i="5" l="1"/>
  <c r="I3" i="5" s="1"/>
  <c r="H4" i="5"/>
  <c r="I4" i="5" s="1"/>
  <c r="H5" i="5"/>
  <c r="I5" i="5" s="1"/>
  <c r="H7" i="5"/>
  <c r="I7" i="5" s="1"/>
  <c r="H8" i="5"/>
  <c r="I8" i="5" s="1"/>
  <c r="H9" i="5"/>
  <c r="I9" i="5" s="1"/>
  <c r="H11" i="5"/>
  <c r="I11" i="5" s="1"/>
  <c r="H12" i="5"/>
  <c r="I12" i="5" s="1"/>
  <c r="H13" i="5"/>
  <c r="I13" i="5" s="1"/>
  <c r="H15" i="5"/>
  <c r="I15" i="5" s="1"/>
  <c r="H16" i="5"/>
  <c r="I16" i="5" s="1"/>
  <c r="H17" i="5"/>
  <c r="I17" i="5" s="1"/>
  <c r="H19" i="5"/>
  <c r="I19" i="5" s="1"/>
  <c r="H20" i="5"/>
  <c r="I20" i="5" s="1"/>
  <c r="H21" i="5"/>
  <c r="I21" i="5" s="1"/>
  <c r="H23" i="5"/>
  <c r="I23" i="5" s="1"/>
  <c r="H24" i="5"/>
  <c r="I24" i="5" s="1"/>
  <c r="H25" i="5"/>
  <c r="I25" i="5" s="1"/>
  <c r="H14" i="3"/>
  <c r="H16" i="3"/>
  <c r="I16" i="3" s="1"/>
  <c r="H17" i="3"/>
  <c r="I17" i="3" s="1"/>
  <c r="H19" i="3"/>
  <c r="I19" i="3" s="1"/>
  <c r="H20" i="3"/>
  <c r="I20" i="3" s="1"/>
  <c r="H21" i="3"/>
  <c r="I21" i="3" s="1"/>
  <c r="H23" i="3"/>
  <c r="I23" i="3" s="1"/>
  <c r="H24" i="3"/>
  <c r="I24" i="3" s="1"/>
  <c r="H25" i="3"/>
  <c r="I25" i="3" s="1"/>
  <c r="H15" i="3"/>
  <c r="I15" i="3" s="1"/>
  <c r="I7" i="4"/>
  <c r="I14" i="3" l="1"/>
  <c r="N6" i="4"/>
  <c r="N5" i="4"/>
  <c r="N4" i="4"/>
  <c r="N9" i="4"/>
  <c r="N8" i="4"/>
  <c r="H14" i="5"/>
  <c r="H10" i="5"/>
  <c r="H6" i="5"/>
  <c r="H22" i="5"/>
  <c r="H2" i="5"/>
  <c r="H18" i="5"/>
  <c r="H22" i="3"/>
  <c r="H18" i="3"/>
  <c r="E27" i="5"/>
  <c r="L5" i="4"/>
  <c r="L4" i="4"/>
  <c r="L8" i="4"/>
  <c r="I9" i="4"/>
  <c r="I8" i="4"/>
  <c r="J7" i="4"/>
  <c r="L7" i="4"/>
  <c r="L6" i="4"/>
  <c r="L9" i="4"/>
  <c r="I18" i="5" l="1"/>
  <c r="I2" i="5"/>
  <c r="I22" i="5"/>
  <c r="I6" i="5"/>
  <c r="I10" i="5"/>
  <c r="I14" i="5"/>
  <c r="I18" i="3"/>
  <c r="I22" i="3"/>
  <c r="O8" i="4"/>
  <c r="R8" i="4" s="1"/>
  <c r="O9" i="4"/>
  <c r="R9" i="4" s="1"/>
  <c r="H13" i="3"/>
  <c r="I13" i="3" s="1"/>
  <c r="H6" i="3"/>
  <c r="H4" i="3"/>
  <c r="H8" i="3"/>
  <c r="I8" i="3" s="1"/>
  <c r="E27" i="3"/>
  <c r="M9" i="4"/>
  <c r="M6" i="4"/>
  <c r="M4" i="4"/>
  <c r="M7" i="4"/>
  <c r="J8" i="4"/>
  <c r="M5" i="4"/>
  <c r="J9" i="4"/>
  <c r="M8" i="4"/>
  <c r="I6" i="3" l="1"/>
  <c r="I4" i="3"/>
  <c r="P8" i="4"/>
  <c r="Q8" i="4" s="1"/>
  <c r="P9" i="4"/>
  <c r="Q9" i="4" s="1"/>
  <c r="S8" i="4"/>
  <c r="S9" i="4"/>
  <c r="H3" i="3"/>
  <c r="K11" i="4"/>
  <c r="L11" i="4"/>
  <c r="M11" i="4"/>
  <c r="H11" i="3"/>
  <c r="I11" i="3" s="1"/>
  <c r="H9" i="3"/>
  <c r="I9" i="3" s="1"/>
  <c r="H12" i="3"/>
  <c r="I12" i="3" s="1"/>
  <c r="H10" i="3"/>
  <c r="H2" i="3"/>
  <c r="H7" i="3"/>
  <c r="I5" i="4"/>
  <c r="I6" i="4"/>
  <c r="O6" i="4" l="1"/>
  <c r="R6" i="4" s="1"/>
  <c r="I7" i="3"/>
  <c r="I10" i="3"/>
  <c r="C3" i="4"/>
  <c r="I2" i="3"/>
  <c r="I3" i="3"/>
  <c r="C5" i="4"/>
  <c r="C4" i="4"/>
  <c r="D4" i="4"/>
  <c r="O5" i="4"/>
  <c r="R5" i="4" s="1"/>
  <c r="G27" i="5"/>
  <c r="G27" i="3"/>
  <c r="H5" i="3"/>
  <c r="J6" i="4"/>
  <c r="J5" i="4"/>
  <c r="I4" i="4"/>
  <c r="S6" i="4" l="1"/>
  <c r="D5" i="4"/>
  <c r="O4" i="4"/>
  <c r="R4" i="4" s="1"/>
  <c r="P6" i="4"/>
  <c r="Q6" i="4" s="1"/>
  <c r="D3" i="4"/>
  <c r="I5" i="3"/>
  <c r="C6" i="4"/>
  <c r="S5" i="4"/>
  <c r="B8" i="4"/>
  <c r="N7" i="4"/>
  <c r="H11" i="4"/>
  <c r="O7" i="4"/>
  <c r="R7" i="4" s="1"/>
  <c r="I11" i="4"/>
  <c r="H27" i="5"/>
  <c r="I27" i="5"/>
  <c r="H27" i="3"/>
  <c r="J4" i="4"/>
  <c r="P4" i="4" l="1"/>
  <c r="D6" i="4"/>
  <c r="S4" i="4"/>
  <c r="P7" i="4"/>
  <c r="Q7" i="4" s="1"/>
  <c r="N11" i="4"/>
  <c r="P5" i="4"/>
  <c r="J11" i="4"/>
  <c r="O11" i="4"/>
  <c r="I27" i="3"/>
  <c r="C8" i="4"/>
  <c r="T7" i="4" l="1"/>
  <c r="Q4" i="4"/>
  <c r="T4" i="4" s="1"/>
  <c r="T8" i="4"/>
  <c r="T9" i="4"/>
  <c r="T6" i="4"/>
  <c r="Q5" i="4"/>
  <c r="T5" i="4" s="1"/>
  <c r="D8" i="4"/>
  <c r="P11" i="4"/>
  <c r="S7" i="4"/>
  <c r="S11" i="4" l="1"/>
  <c r="R11" i="4"/>
</calcChain>
</file>

<file path=xl/sharedStrings.xml><?xml version="1.0" encoding="utf-8"?>
<sst xmlns="http://schemas.openxmlformats.org/spreadsheetml/2006/main" count="162" uniqueCount="56">
  <si>
    <t>合　計</t>
    <rPh sb="0" eb="1">
      <t>ア</t>
    </rPh>
    <rPh sb="2" eb="3">
      <t>ケイ</t>
    </rPh>
    <phoneticPr fontId="4"/>
  </si>
  <si>
    <t>合　計</t>
    <phoneticPr fontId="2"/>
  </si>
  <si>
    <t>＜商品テーブル＞</t>
    <rPh sb="1" eb="3">
      <t>ショウヒン</t>
    </rPh>
    <phoneticPr fontId="2"/>
  </si>
  <si>
    <t>商ＣＯ</t>
    <rPh sb="0" eb="1">
      <t>ショウ</t>
    </rPh>
    <phoneticPr fontId="2"/>
  </si>
  <si>
    <t>商品名</t>
    <rPh sb="0" eb="3">
      <t>ショウヒンメイ</t>
    </rPh>
    <phoneticPr fontId="2"/>
  </si>
  <si>
    <t>原価</t>
    <rPh sb="0" eb="2">
      <t>ゲンカ</t>
    </rPh>
    <phoneticPr fontId="2"/>
  </si>
  <si>
    <t>商品Ｄ</t>
    <rPh sb="0" eb="2">
      <t>ショウヒン</t>
    </rPh>
    <phoneticPr fontId="2"/>
  </si>
  <si>
    <t>＜販売先テーブル＞</t>
    <rPh sb="1" eb="3">
      <t>ハンバイ</t>
    </rPh>
    <phoneticPr fontId="2"/>
  </si>
  <si>
    <t>販ＣＯ</t>
    <rPh sb="0" eb="1">
      <t>ハン</t>
    </rPh>
    <phoneticPr fontId="2"/>
  </si>
  <si>
    <t>販売先名</t>
    <rPh sb="0" eb="2">
      <t>ハンバイ</t>
    </rPh>
    <rPh sb="2" eb="3">
      <t>サキ</t>
    </rPh>
    <rPh sb="3" eb="4">
      <t>メイ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</si>
  <si>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</si>
  <si>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</si>
  <si>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値引額</t>
    <rPh sb="0" eb="2">
      <t>ネビキ</t>
    </rPh>
    <rPh sb="2" eb="3">
      <t>ガク</t>
    </rPh>
    <phoneticPr fontId="2"/>
  </si>
  <si>
    <t>定価</t>
    <rPh sb="0" eb="2">
      <t>テイカ</t>
    </rPh>
    <phoneticPr fontId="2"/>
  </si>
  <si>
    <t>判定</t>
    <rPh sb="0" eb="2">
      <t>ハンテイ</t>
    </rPh>
    <phoneticPr fontId="2"/>
  </si>
  <si>
    <t>＜利益率表＞</t>
    <rPh sb="1" eb="3">
      <t>リエキ</t>
    </rPh>
    <rPh sb="3" eb="4">
      <t>リツ</t>
    </rPh>
    <rPh sb="4" eb="5">
      <t>ヒョウ</t>
    </rPh>
    <phoneticPr fontId="2"/>
  </si>
  <si>
    <t>利益額</t>
    <rPh sb="0" eb="2">
      <t>リエキ</t>
    </rPh>
    <rPh sb="2" eb="3">
      <t>ガク</t>
    </rPh>
    <phoneticPr fontId="2"/>
  </si>
  <si>
    <t>請求額</t>
    <rPh sb="0" eb="2">
      <t>セイキュウ</t>
    </rPh>
    <rPh sb="2" eb="3">
      <t>ガク</t>
    </rPh>
    <phoneticPr fontId="2"/>
  </si>
  <si>
    <t>利益目標</t>
    <rPh sb="0" eb="2">
      <t>リエキ</t>
    </rPh>
    <rPh sb="2" eb="4">
      <t>モクヒョウ</t>
    </rPh>
    <phoneticPr fontId="2"/>
  </si>
  <si>
    <t>割引額</t>
    <rPh sb="0" eb="2">
      <t>ワリビキ</t>
    </rPh>
    <rPh sb="2" eb="3">
      <t>ガク</t>
    </rPh>
    <phoneticPr fontId="2"/>
  </si>
  <si>
    <t>前期</t>
    <rPh sb="0" eb="2">
      <t>ゼンキ</t>
    </rPh>
    <phoneticPr fontId="2"/>
  </si>
  <si>
    <t>後期</t>
    <rPh sb="0" eb="2">
      <t>コウキ</t>
    </rPh>
    <phoneticPr fontId="2"/>
  </si>
  <si>
    <t>年間</t>
    <rPh sb="0" eb="2">
      <t>ネンカン</t>
    </rPh>
    <phoneticPr fontId="2"/>
  </si>
  <si>
    <t>販　売　先　別　請　求　額　計　算　表</t>
    <rPh sb="0" eb="1">
      <t>ハン</t>
    </rPh>
    <rPh sb="2" eb="3">
      <t>バイ</t>
    </rPh>
    <rPh sb="4" eb="5">
      <t>サキ</t>
    </rPh>
    <rPh sb="6" eb="7">
      <t>ベツ</t>
    </rPh>
    <rPh sb="8" eb="9">
      <t>ショウ</t>
    </rPh>
    <rPh sb="10" eb="11">
      <t>モトム</t>
    </rPh>
    <rPh sb="12" eb="13">
      <t>ガク</t>
    </rPh>
    <rPh sb="14" eb="15">
      <t>ケイ</t>
    </rPh>
    <rPh sb="16" eb="17">
      <t>サン</t>
    </rPh>
    <rPh sb="18" eb="19">
      <t>ヒョウ</t>
    </rPh>
    <phoneticPr fontId="2"/>
  </si>
  <si>
    <t>商品Ａ</t>
    <rPh sb="0" eb="2">
      <t>ショウヒン</t>
    </rPh>
    <phoneticPr fontId="2"/>
  </si>
  <si>
    <t>商品Ｂ</t>
    <rPh sb="0" eb="2">
      <t>ショウヒン</t>
    </rPh>
    <phoneticPr fontId="2"/>
  </si>
  <si>
    <t>商品Ｃ</t>
    <rPh sb="0" eb="2">
      <t>ショウヒン</t>
    </rPh>
    <phoneticPr fontId="2"/>
  </si>
  <si>
    <t>区分</t>
    <rPh sb="0" eb="2">
      <t>クブン</t>
    </rPh>
    <phoneticPr fontId="2"/>
  </si>
  <si>
    <t>割引率</t>
    <rPh sb="0" eb="3">
      <t>ワリビキリツ</t>
    </rPh>
    <phoneticPr fontId="2"/>
  </si>
  <si>
    <t>商ＣＯの下１桁</t>
    <rPh sb="0" eb="1">
      <t>ショウ</t>
    </rPh>
    <rPh sb="4" eb="5">
      <t>シモ</t>
    </rPh>
    <rPh sb="6" eb="7">
      <t>ケタ</t>
    </rPh>
    <phoneticPr fontId="2"/>
  </si>
  <si>
    <t>合　計</t>
  </si>
  <si>
    <t>＜割引率テーブル＞</t>
    <rPh sb="1" eb="4">
      <t>ワリビキリツ</t>
    </rPh>
    <phoneticPr fontId="2"/>
  </si>
  <si>
    <t>11X</t>
  </si>
  <si>
    <t>11X</t>
    <phoneticPr fontId="2"/>
  </si>
  <si>
    <t>14Y</t>
  </si>
  <si>
    <t>14Y</t>
    <phoneticPr fontId="2"/>
  </si>
  <si>
    <t>15X</t>
  </si>
  <si>
    <t>15X</t>
    <phoneticPr fontId="2"/>
  </si>
  <si>
    <t>16Z</t>
  </si>
  <si>
    <t>16Z</t>
    <phoneticPr fontId="2"/>
  </si>
  <si>
    <t>X</t>
    <phoneticPr fontId="2"/>
  </si>
  <si>
    <t>Y</t>
    <phoneticPr fontId="2"/>
  </si>
  <si>
    <t>Z</t>
    <phoneticPr fontId="2"/>
  </si>
  <si>
    <t>ショップ東</t>
    <rPh sb="4" eb="5">
      <t>ヒガシ</t>
    </rPh>
    <phoneticPr fontId="2"/>
  </si>
  <si>
    <t>長田堂</t>
    <rPh sb="0" eb="2">
      <t>オサダ</t>
    </rPh>
    <rPh sb="2" eb="3">
      <t>ドウ</t>
    </rPh>
    <phoneticPr fontId="2"/>
  </si>
  <si>
    <t>上川商事</t>
    <rPh sb="0" eb="2">
      <t>カミカワ</t>
    </rPh>
    <rPh sb="2" eb="4">
      <t>ショウジ</t>
    </rPh>
    <phoneticPr fontId="2"/>
  </si>
  <si>
    <t>ＯＲＩＭＥ</t>
    <phoneticPr fontId="2"/>
  </si>
  <si>
    <t>近藤百貨</t>
    <rPh sb="0" eb="2">
      <t>コンドウ</t>
    </rPh>
    <rPh sb="2" eb="4">
      <t>ヒャッカ</t>
    </rPh>
    <phoneticPr fontId="2"/>
  </si>
  <si>
    <t>堂本用品</t>
    <rPh sb="0" eb="2">
      <t>ドウモト</t>
    </rPh>
    <rPh sb="2" eb="4">
      <t>ヨウヒン</t>
    </rPh>
    <phoneticPr fontId="2"/>
  </si>
  <si>
    <t>12Z</t>
    <phoneticPr fontId="2"/>
  </si>
  <si>
    <t>13Y</t>
    <phoneticPr fontId="2"/>
  </si>
  <si>
    <t>販売数</t>
    <rPh sb="0" eb="3">
      <t>ハンバイスウ</t>
    </rPh>
    <phoneticPr fontId="2"/>
  </si>
  <si>
    <t>達成指数</t>
    <rPh sb="0" eb="2">
      <t>タッセイ</t>
    </rPh>
    <rPh sb="2" eb="4">
      <t>シスウ</t>
    </rPh>
    <phoneticPr fontId="2"/>
  </si>
  <si>
    <t>商品別総括表</t>
    <rPh sb="0" eb="2">
      <t>ショウヒン</t>
    </rPh>
    <rPh sb="2" eb="3">
      <t>ベツ</t>
    </rPh>
    <rPh sb="3" eb="5">
      <t>ソウカツ</t>
    </rPh>
    <rPh sb="5" eb="6">
      <t>オモテ</t>
    </rPh>
    <phoneticPr fontId="2"/>
  </si>
  <si>
    <t>【100点】</t>
    <rPh sb="4" eb="5">
      <t>テン</t>
    </rPh>
    <phoneticPr fontId="7"/>
  </si>
  <si>
    <t>グラフ【20点】</t>
    <rPh sb="6" eb="7">
      <t>テン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</si>
</sst>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6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38" fontId="3" fillId="0" borderId="4" xfId="1" applyFont="1" applyBorder="1">
      <alignment vertical="center"/>
    </xf>
    <xf numFmtId="38" fontId="3" fillId="0" borderId="2" xfId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38" fontId="3" fillId="0" borderId="6" xfId="0" applyNumberFormat="1" applyFont="1" applyBorder="1">
      <alignment vertical="center"/>
    </xf>
    <xf numFmtId="0" fontId="3" fillId="0" borderId="8" xfId="0" applyFon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3" fillId="0" borderId="0" xfId="0" applyNumberFormat="1" applyFont="1">
      <alignment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3" fillId="0" borderId="2" xfId="0" applyNumberFormat="1" applyFont="1" applyBorder="1">
      <alignment vertical="center"/>
    </xf>
    <xf numFmtId="3" fontId="5" fillId="0" borderId="2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38" fontId="3" fillId="0" borderId="7" xfId="0" applyNumberFormat="1" applyFont="1" applyBorder="1">
      <alignment vertical="center"/>
    </xf>
    <xf numFmtId="0" fontId="1" fillId="0" borderId="8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8" fontId="5" fillId="0" borderId="2" xfId="0" applyNumberFormat="1" applyFont="1" applyBorder="1" applyAlignment="1">
      <alignment horizontal="right" vertical="center"/>
    </xf>
    <xf numFmtId="38" fontId="5" fillId="0" borderId="2" xfId="1" applyFont="1" applyFill="1" applyBorder="1">
      <alignment vertical="center"/>
    </xf>
    <xf numFmtId="38" fontId="3" fillId="0" borderId="2" xfId="1" applyFont="1" applyFill="1" applyBorder="1">
      <alignment vertical="center"/>
    </xf>
    <xf numFmtId="38" fontId="3" fillId="0" borderId="4" xfId="1" applyFont="1" applyFill="1" applyBorder="1">
      <alignment vertical="center"/>
    </xf>
    <xf numFmtId="0" fontId="0" fillId="0" borderId="6" xfId="0" applyBorder="1" applyAlignment="1">
      <alignment horizontal="center" vertical="center"/>
    </xf>
    <xf numFmtId="0" fontId="3" fillId="0" borderId="6" xfId="0" applyFont="1" applyBorder="1">
      <alignment vertical="center"/>
    </xf>
    <xf numFmtId="38" fontId="3" fillId="0" borderId="6" xfId="1" applyFont="1" applyFill="1" applyBorder="1">
      <alignment vertical="center"/>
    </xf>
    <xf numFmtId="38" fontId="3" fillId="0" borderId="7" xfId="1" applyFont="1" applyFill="1" applyBorder="1">
      <alignment vertical="center"/>
    </xf>
    <xf numFmtId="0" fontId="1" fillId="0" borderId="2" xfId="0" applyFont="1" applyBorder="1">
      <alignment vertical="center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" fillId="0" borderId="2" xfId="0" applyNumberFormat="1" applyFont="1" applyBorder="1">
      <alignment vertical="center"/>
    </xf>
    <xf numFmtId="176" fontId="3" fillId="0" borderId="2" xfId="0" applyNumberFormat="1" applyFont="1" applyBorder="1">
      <alignment vertical="center"/>
    </xf>
    <xf numFmtId="0" fontId="1" fillId="0" borderId="3" xfId="0" applyFont="1" applyBorder="1">
      <alignment vertical="center"/>
    </xf>
    <xf numFmtId="0" fontId="0" fillId="0" borderId="16" xfId="0" applyBorder="1" applyAlignment="1">
      <alignment horizontal="center" vertical="center"/>
    </xf>
    <xf numFmtId="0" fontId="1" fillId="0" borderId="17" xfId="0" applyFont="1" applyBorder="1">
      <alignment vertical="center"/>
    </xf>
    <xf numFmtId="38" fontId="3" fillId="0" borderId="4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 applyAlignment="1">
      <alignment horizontal="center" vertical="center"/>
    </xf>
    <xf numFmtId="0" fontId="1" fillId="0" borderId="20" xfId="0" applyFont="1" applyBorder="1">
      <alignment vertical="center"/>
    </xf>
    <xf numFmtId="0" fontId="5" fillId="0" borderId="20" xfId="0" applyFon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5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0" xfId="2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44E1B3D3-0E65-41CE-9F53-183042236F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28-4F28-930B-C189F6F40BA0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28-4F28-930B-C189F6F40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04064"/>
        <c:axId val="63305600"/>
      </c:barChart>
      <c:catAx>
        <c:axId val="6330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5600"/>
        <c:crosses val="autoZero"/>
        <c:auto val="1"/>
        <c:lblAlgn val="ctr"/>
        <c:lblOffset val="100"/>
        <c:noMultiLvlLbl val="0"/>
      </c:catAx>
      <c:valAx>
        <c:axId val="63305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406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2687224669603523"/>
          <c:y val="0"/>
          <c:w val="0.23348017621145375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C65-4BD2-BBC6-C3275AE4DBAF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C65-4BD2-BBC6-C3275AE4D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27232"/>
        <c:axId val="63361792"/>
      </c:barChart>
      <c:catAx>
        <c:axId val="6332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61792"/>
        <c:crosses val="autoZero"/>
        <c:auto val="1"/>
        <c:lblAlgn val="ctr"/>
        <c:lblOffset val="100"/>
        <c:noMultiLvlLbl val="0"/>
      </c:catAx>
      <c:valAx>
        <c:axId val="63361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2723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ADF-4458-BB3D-78A32BFC771D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ADF-4458-BB3D-78A32BFC7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008128"/>
        <c:axId val="103009664"/>
      </c:barChart>
      <c:catAx>
        <c:axId val="10300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9664"/>
        <c:crosses val="autoZero"/>
        <c:auto val="1"/>
        <c:lblAlgn val="ctr"/>
        <c:lblOffset val="100"/>
        <c:noMultiLvlLbl val="0"/>
      </c:catAx>
      <c:valAx>
        <c:axId val="103009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81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62-4BC1-97D4-3115EFE9A90E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62-4BC1-97D4-3115EFE9A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269120"/>
        <c:axId val="103270656"/>
      </c:barChart>
      <c:catAx>
        <c:axId val="10326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70656"/>
        <c:crosses val="autoZero"/>
        <c:auto val="1"/>
        <c:lblAlgn val="ctr"/>
        <c:lblOffset val="100"/>
        <c:noMultiLvlLbl val="0"/>
      </c:catAx>
      <c:valAx>
        <c:axId val="103270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691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9264214046822745"/>
          <c:y val="0"/>
          <c:w val="0.17725752508361203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販売先別の比較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計算表!$S$3</c:f>
              <c:strCache>
                <c:ptCount val="1"/>
                <c:pt idx="0">
                  <c:v>請求額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計算表!$G$4:$G$9</c:f>
              <c:strCache>
                <c:ptCount val="6"/>
                <c:pt idx="0">
                  <c:v>ショップ東</c:v>
                </c:pt>
                <c:pt idx="1">
                  <c:v>長田堂</c:v>
                </c:pt>
                <c:pt idx="2">
                  <c:v>上川商事</c:v>
                </c:pt>
                <c:pt idx="3">
                  <c:v>ＯＲＩＭＥ</c:v>
                </c:pt>
                <c:pt idx="4">
                  <c:v>近藤百貨</c:v>
                </c:pt>
                <c:pt idx="5">
                  <c:v>堂本用品</c:v>
                </c:pt>
              </c:strCache>
            </c:strRef>
          </c:cat>
          <c:val>
            <c:numRef>
              <c:f>計算表!$S$4:$S$9</c:f>
              <c:numCache>
                <c:formatCode>#,##0_);[Red]\(#,##0\)</c:formatCode>
                <c:ptCount val="6"/>
                <c:pt idx="0">
                  <c:v>2986280</c:v>
                </c:pt>
                <c:pt idx="1">
                  <c:v>3143800</c:v>
                </c:pt>
                <c:pt idx="2">
                  <c:v>3139250</c:v>
                </c:pt>
                <c:pt idx="3">
                  <c:v>3339650</c:v>
                </c:pt>
                <c:pt idx="4">
                  <c:v>2998580</c:v>
                </c:pt>
                <c:pt idx="5">
                  <c:v>2851910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DB-4459-8A43-7546DD393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3937439"/>
        <c:axId val="1653935999"/>
      </c:barChart>
      <c:lineChart>
        <c:grouping val="standard"/>
        <c:varyColors val="0"/>
        <c:ser>
          <c:idx val="0"/>
          <c:order val="0"/>
          <c:tx>
            <c:strRef>
              <c:f>計算表!$N$3</c:f>
              <c:strCache>
                <c:ptCount val="1"/>
                <c:pt idx="0">
                  <c:v>販売数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計算表!$G$4:$G$9</c:f>
              <c:strCache>
                <c:ptCount val="6"/>
                <c:pt idx="0">
                  <c:v>ショップ東</c:v>
                </c:pt>
                <c:pt idx="1">
                  <c:v>長田堂</c:v>
                </c:pt>
                <c:pt idx="2">
                  <c:v>上川商事</c:v>
                </c:pt>
                <c:pt idx="3">
                  <c:v>ＯＲＩＭＥ</c:v>
                </c:pt>
                <c:pt idx="4">
                  <c:v>近藤百貨</c:v>
                </c:pt>
                <c:pt idx="5">
                  <c:v>堂本用品</c:v>
                </c:pt>
              </c:strCache>
            </c:strRef>
          </c:cat>
          <c:val>
            <c:numRef>
              <c:f>計算表!$N$4:$N$9</c:f>
              <c:numCache>
                <c:formatCode>#,##0_);[Red]\(#,##0\)</c:formatCode>
                <c:ptCount val="6"/>
                <c:pt idx="0">
                  <c:v>1294</c:v>
                </c:pt>
                <c:pt idx="1">
                  <c:v>1373</c:v>
                </c:pt>
                <c:pt idx="2">
                  <c:v>1355</c:v>
                </c:pt>
                <c:pt idx="3">
                  <c:v>1451</c:v>
                </c:pt>
                <c:pt idx="4">
                  <c:v>1290</c:v>
                </c:pt>
                <c:pt idx="5">
                  <c:v>1238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DB-4459-8A43-7546DD393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59392"/>
        <c:axId val="122061184"/>
      </c:lineChart>
      <c:catAx>
        <c:axId val="12205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122061184"/>
        <c:crosses val="autoZero"/>
        <c:auto val="1"/>
        <c:lblAlgn val="ctr"/>
        <c:lblOffset val="100"/>
        <c:noMultiLvlLbl val="0"/>
      </c:catAx>
      <c:valAx>
        <c:axId val="1220611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122059392"/>
        <c:crosses val="autoZero"/>
        <c:crossBetween val="between"/>
      </c:valAx>
      <c:valAx>
        <c:axId val="1653935999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100" baseline="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1653937439"/>
        <c:crosses val="max"/>
        <c:crossBetween val="between"/>
      </c:valAx>
      <c:catAx>
        <c:axId val="16539374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3935999"/>
        <c:crosses val="autoZero"/>
        <c:auto val="1"/>
        <c:lblAlgn val="ctr"/>
        <c:lblOffset val="100"/>
        <c:noMultiLvlLbl val="0"/>
      </c:catAx>
      <c:spPr>
        <a:ln>
          <a:solidFill>
            <a:sysClr val="windowText" lastClr="000000"/>
          </a:solidFill>
        </a:ln>
      </c:spPr>
    </c:plotArea>
    <c:legend>
      <c:legendPos val="r"/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1100" baseline="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049" name="グラフ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4097" name="グラフ 1">
          <a:extLst>
            <a:ext uri="{FF2B5EF4-FFF2-40B4-BE49-F238E27FC236}">
              <a16:creationId xmlns:a16="http://schemas.microsoft.com/office/drawing/2014/main" id="{00000000-0008-0000-01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6145" name="グラフ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733425</xdr:colOff>
      <xdr:row>17</xdr:row>
      <xdr:rowOff>157162</xdr:rowOff>
    </xdr:from>
    <xdr:to>
      <xdr:col>17</xdr:col>
      <xdr:colOff>614362</xdr:colOff>
      <xdr:row>38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98A9CC6-6885-D993-D052-829C9820FA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"/>
  <sheetViews>
    <sheetView tabSelected="1" workbookViewId="0"/>
  </sheetViews>
  <sheetFormatPr defaultRowHeight="13.5"/>
  <cols>
    <col min="1" max="1" width="7.5" style="1" customWidth="1"/>
    <col min="2" max="2" width="11.625" style="1" bestFit="1" customWidth="1"/>
    <col min="3" max="3" width="9.5" style="1" bestFit="1" customWidth="1"/>
    <col min="4" max="4" width="4.75" style="1" customWidth="1"/>
    <col min="5" max="5" width="7.5" style="1" customWidth="1"/>
    <col min="6" max="6" width="7.5" style="1" bestFit="1" customWidth="1"/>
    <col min="7" max="7" width="6.5" style="1" bestFit="1" customWidth="1"/>
    <col min="8" max="8" width="4.875" style="1" customWidth="1"/>
    <col min="9" max="9" width="7.5" style="1" bestFit="1" customWidth="1"/>
    <col min="10" max="11" width="8.25" style="1" customWidth="1"/>
    <col min="12" max="12" width="4.875" style="1" customWidth="1"/>
    <col min="13" max="13" width="5.5" style="1" bestFit="1" customWidth="1"/>
    <col min="14" max="14" width="7.5" style="1" bestFit="1" customWidth="1"/>
    <col min="15" max="16384" width="9" style="1"/>
  </cols>
  <sheetData>
    <row r="1" spans="1:14">
      <c r="A1" t="s">
        <v>7</v>
      </c>
      <c r="E1" t="s">
        <v>2</v>
      </c>
      <c r="I1" t="s">
        <v>15</v>
      </c>
      <c r="M1" s="40" t="s">
        <v>31</v>
      </c>
    </row>
    <row r="2" spans="1:14">
      <c r="A2" s="13" t="s">
        <v>8</v>
      </c>
      <c r="B2" s="13" t="s">
        <v>9</v>
      </c>
      <c r="C2" s="28" t="s">
        <v>18</v>
      </c>
      <c r="D2"/>
      <c r="E2" s="13" t="s">
        <v>3</v>
      </c>
      <c r="F2" s="13" t="s">
        <v>4</v>
      </c>
      <c r="G2" s="13" t="s">
        <v>5</v>
      </c>
      <c r="I2" s="62" t="s">
        <v>10</v>
      </c>
      <c r="J2" s="60" t="s">
        <v>29</v>
      </c>
      <c r="K2" s="61"/>
      <c r="M2" s="41" t="s">
        <v>27</v>
      </c>
      <c r="N2" s="41" t="s">
        <v>28</v>
      </c>
    </row>
    <row r="3" spans="1:14">
      <c r="A3" s="39" t="s">
        <v>33</v>
      </c>
      <c r="B3" s="27" t="s">
        <v>43</v>
      </c>
      <c r="C3" s="23">
        <v>458600</v>
      </c>
      <c r="D3"/>
      <c r="E3" s="3">
        <v>101</v>
      </c>
      <c r="F3" s="14" t="s">
        <v>24</v>
      </c>
      <c r="G3" s="5">
        <v>1784</v>
      </c>
      <c r="I3" s="63"/>
      <c r="J3" s="14">
        <v>1</v>
      </c>
      <c r="K3" s="3">
        <v>2</v>
      </c>
      <c r="M3" s="39" t="s">
        <v>40</v>
      </c>
      <c r="N3" s="44">
        <v>2.9000000000000001E-2</v>
      </c>
    </row>
    <row r="4" spans="1:14">
      <c r="A4" s="39" t="s">
        <v>49</v>
      </c>
      <c r="B4" s="27" t="s">
        <v>44</v>
      </c>
      <c r="C4" s="23">
        <v>514900</v>
      </c>
      <c r="D4"/>
      <c r="E4" s="3">
        <v>102</v>
      </c>
      <c r="F4" s="14" t="s">
        <v>25</v>
      </c>
      <c r="G4" s="5">
        <v>2168</v>
      </c>
      <c r="I4" s="3">
        <v>1</v>
      </c>
      <c r="J4" s="22">
        <v>0.31</v>
      </c>
      <c r="K4" s="22">
        <v>0.3</v>
      </c>
      <c r="M4" s="39" t="s">
        <v>41</v>
      </c>
      <c r="N4" s="44">
        <v>3.2000000000000001E-2</v>
      </c>
    </row>
    <row r="5" spans="1:14">
      <c r="A5" s="39" t="s">
        <v>50</v>
      </c>
      <c r="B5" s="27" t="s">
        <v>45</v>
      </c>
      <c r="C5" s="23">
        <v>543000</v>
      </c>
      <c r="D5"/>
      <c r="E5" s="3">
        <v>201</v>
      </c>
      <c r="F5" s="14" t="s">
        <v>26</v>
      </c>
      <c r="G5" s="5">
        <v>1834</v>
      </c>
      <c r="I5" s="3">
        <v>150</v>
      </c>
      <c r="J5" s="22">
        <v>0.28000000000000003</v>
      </c>
      <c r="K5" s="22">
        <v>0.27</v>
      </c>
      <c r="M5" s="39" t="s">
        <v>42</v>
      </c>
      <c r="N5" s="44">
        <v>3.5999999999999997E-2</v>
      </c>
    </row>
    <row r="6" spans="1:14">
      <c r="A6" s="39" t="s">
        <v>35</v>
      </c>
      <c r="B6" s="27" t="s">
        <v>46</v>
      </c>
      <c r="C6" s="23">
        <v>501300</v>
      </c>
      <c r="D6"/>
      <c r="E6" s="3">
        <v>202</v>
      </c>
      <c r="F6" s="14" t="s">
        <v>6</v>
      </c>
      <c r="G6" s="5">
        <v>2247</v>
      </c>
      <c r="I6" s="3">
        <v>210</v>
      </c>
      <c r="J6" s="22">
        <v>0.25</v>
      </c>
      <c r="K6" s="22">
        <v>0.24</v>
      </c>
    </row>
    <row r="7" spans="1:14">
      <c r="A7" s="39" t="s">
        <v>37</v>
      </c>
      <c r="B7" s="39" t="s">
        <v>47</v>
      </c>
      <c r="C7" s="43">
        <v>495300</v>
      </c>
    </row>
    <row r="8" spans="1:14">
      <c r="A8" s="39" t="s">
        <v>39</v>
      </c>
      <c r="B8" s="39" t="s">
        <v>48</v>
      </c>
      <c r="C8" s="43">
        <v>455200</v>
      </c>
    </row>
  </sheetData>
  <mergeCells count="2">
    <mergeCell ref="J2:K2"/>
    <mergeCell ref="I2:I3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9"/>
  <sheetViews>
    <sheetView workbookViewId="0"/>
  </sheetViews>
  <sheetFormatPr defaultRowHeight="13.5"/>
  <cols>
    <col min="1" max="1" width="7.5" style="1" bestFit="1" customWidth="1"/>
    <col min="2" max="2" width="11.625" style="1" bestFit="1" customWidth="1"/>
    <col min="3" max="4" width="7.5" style="1" bestFit="1" customWidth="1"/>
    <col min="5" max="5" width="7.5" style="1" customWidth="1"/>
    <col min="6" max="6" width="6.5" style="1" bestFit="1" customWidth="1"/>
    <col min="7" max="7" width="8.5" style="1" bestFit="1" customWidth="1"/>
    <col min="8" max="9" width="10.5" style="1" bestFit="1" customWidth="1"/>
    <col min="10" max="16384" width="9" style="1"/>
  </cols>
  <sheetData>
    <row r="1" spans="1:9">
      <c r="A1" s="11" t="s">
        <v>8</v>
      </c>
      <c r="B1" s="29" t="s">
        <v>9</v>
      </c>
      <c r="C1" s="29" t="s">
        <v>3</v>
      </c>
      <c r="D1" s="29" t="s">
        <v>4</v>
      </c>
      <c r="E1" s="29" t="s">
        <v>10</v>
      </c>
      <c r="F1" s="29" t="s">
        <v>13</v>
      </c>
      <c r="G1" s="29" t="s">
        <v>12</v>
      </c>
      <c r="H1" s="29" t="s">
        <v>11</v>
      </c>
      <c r="I1" s="30" t="s">
        <v>16</v>
      </c>
    </row>
    <row r="2" spans="1:9">
      <c r="A2" s="2" t="s">
        <v>32</v>
      </c>
      <c r="B2" s="3" t="str">
        <f>VLOOKUP(A2,テーブル!$A$3:$C$8,2,0)</f>
        <v>ショップ東</v>
      </c>
      <c r="C2" s="3">
        <v>101</v>
      </c>
      <c r="D2" s="14" t="str">
        <f>VLOOKUP(C2,テーブル!$E$3:$G$6,2,0)</f>
        <v>商品Ａ</v>
      </c>
      <c r="E2" s="3">
        <v>138</v>
      </c>
      <c r="F2" s="31">
        <f>ROUNDDOWN(VLOOKUP(C2,テーブル!$E$3:$G$6,3,0)*(1+VLOOKUP(E2,テーブル!$I$4:$K$6,MOD(C2,10)+1,1)),-1)</f>
        <v>2330</v>
      </c>
      <c r="G2" s="32">
        <f>ROUNDUP(IF(OR(E2&gt;=200,F2&gt;=2750),F2*E2*7.8%,F2*E2*6.2%),-1)</f>
        <v>19940</v>
      </c>
      <c r="H2" s="33">
        <f t="shared" ref="H2:H25" si="0">F2*E2-G2</f>
        <v>301600</v>
      </c>
      <c r="I2" s="34">
        <f>H2-VLOOKUP(C2,テーブル!$E$3:$G$6,3,0)*E2</f>
        <v>55408</v>
      </c>
    </row>
    <row r="3" spans="1:9">
      <c r="A3" s="2" t="s">
        <v>32</v>
      </c>
      <c r="B3" s="3" t="str">
        <f>VLOOKUP(A3,テーブル!$A$3:$C$8,2,0)</f>
        <v>ショップ東</v>
      </c>
      <c r="C3" s="3">
        <v>102</v>
      </c>
      <c r="D3" s="14" t="str">
        <f>VLOOKUP(C3,テーブル!$E$3:$G$6,2,0)</f>
        <v>商品Ｂ</v>
      </c>
      <c r="E3" s="3">
        <v>148</v>
      </c>
      <c r="F3" s="31">
        <f>ROUNDDOWN(VLOOKUP(C3,テーブル!$E$3:$G$6,3,0)*(1+VLOOKUP(E3,テーブル!$I$4:$K$6,MOD(C3,10)+1,1)),-1)</f>
        <v>2810</v>
      </c>
      <c r="G3" s="32">
        <f t="shared" ref="G3:G25" si="1">ROUNDUP(IF(OR(E3&gt;=200,F3&gt;=2750),F3*E3*7.8%,F3*E3*6.2%),-1)</f>
        <v>32440</v>
      </c>
      <c r="H3" s="33">
        <f t="shared" si="0"/>
        <v>383440</v>
      </c>
      <c r="I3" s="34">
        <f>H3-VLOOKUP(C3,テーブル!$E$3:$G$6,3,0)*E3</f>
        <v>62576</v>
      </c>
    </row>
    <row r="4" spans="1:9">
      <c r="A4" s="2" t="s">
        <v>32</v>
      </c>
      <c r="B4" s="3" t="str">
        <f>VLOOKUP(A4,テーブル!$A$3:$C$8,2,0)</f>
        <v>ショップ東</v>
      </c>
      <c r="C4" s="3">
        <v>201</v>
      </c>
      <c r="D4" s="14" t="str">
        <f>VLOOKUP(C4,テーブル!$E$3:$G$6,2,0)</f>
        <v>商品Ｃ</v>
      </c>
      <c r="E4" s="3">
        <v>223</v>
      </c>
      <c r="F4" s="31">
        <f>ROUNDDOWN(VLOOKUP(C4,テーブル!$E$3:$G$6,3,0)*(1+VLOOKUP(E4,テーブル!$I$4:$K$6,MOD(C4,10)+1,1)),-1)</f>
        <v>2290</v>
      </c>
      <c r="G4" s="32">
        <f t="shared" si="1"/>
        <v>39840</v>
      </c>
      <c r="H4" s="33">
        <f t="shared" si="0"/>
        <v>470830</v>
      </c>
      <c r="I4" s="34">
        <f>H4-VLOOKUP(C4,テーブル!$E$3:$G$6,3,0)*E4</f>
        <v>61848</v>
      </c>
    </row>
    <row r="5" spans="1:9">
      <c r="A5" s="2" t="s">
        <v>32</v>
      </c>
      <c r="B5" s="3" t="str">
        <f>VLOOKUP(A5,テーブル!$A$3:$C$8,2,0)</f>
        <v>ショップ東</v>
      </c>
      <c r="C5" s="3">
        <v>202</v>
      </c>
      <c r="D5" s="14" t="str">
        <f>VLOOKUP(C5,テーブル!$E$3:$G$6,2,0)</f>
        <v>商品Ｄ</v>
      </c>
      <c r="E5" s="3">
        <v>137</v>
      </c>
      <c r="F5" s="31">
        <f>ROUNDDOWN(VLOOKUP(C5,テーブル!$E$3:$G$6,3,0)*(1+VLOOKUP(E5,テーブル!$I$4:$K$6,MOD(C5,10)+1,1)),-1)</f>
        <v>2920</v>
      </c>
      <c r="G5" s="32">
        <f t="shared" si="1"/>
        <v>31210</v>
      </c>
      <c r="H5" s="33">
        <f t="shared" si="0"/>
        <v>368830</v>
      </c>
      <c r="I5" s="34">
        <f>H5-VLOOKUP(C5,テーブル!$E$3:$G$6,3,0)*E5</f>
        <v>60991</v>
      </c>
    </row>
    <row r="6" spans="1:9">
      <c r="A6" s="45" t="s">
        <v>49</v>
      </c>
      <c r="B6" s="3" t="str">
        <f>VLOOKUP(A6,テーブル!$A$3:$C$8,2,0)</f>
        <v>長田堂</v>
      </c>
      <c r="C6" s="3">
        <v>101</v>
      </c>
      <c r="D6" s="14" t="str">
        <f>VLOOKUP(C6,テーブル!$E$3:$G$6,2,0)</f>
        <v>商品Ａ</v>
      </c>
      <c r="E6" s="3">
        <v>195</v>
      </c>
      <c r="F6" s="31">
        <f>ROUNDDOWN(VLOOKUP(C6,テーブル!$E$3:$G$6,3,0)*(1+VLOOKUP(E6,テーブル!$I$4:$K$6,MOD(C6,10)+1,1)),-1)</f>
        <v>2280</v>
      </c>
      <c r="G6" s="32">
        <f t="shared" si="1"/>
        <v>27570</v>
      </c>
      <c r="H6" s="33">
        <f t="shared" si="0"/>
        <v>417030</v>
      </c>
      <c r="I6" s="34">
        <f>H6-VLOOKUP(C6,テーブル!$E$3:$G$6,3,0)*E6</f>
        <v>69150</v>
      </c>
    </row>
    <row r="7" spans="1:9">
      <c r="A7" s="45" t="s">
        <v>49</v>
      </c>
      <c r="B7" s="3" t="str">
        <f>VLOOKUP(A7,テーブル!$A$3:$C$8,2,0)</f>
        <v>長田堂</v>
      </c>
      <c r="C7" s="3">
        <v>102</v>
      </c>
      <c r="D7" s="14" t="str">
        <f>VLOOKUP(C7,テーブル!$E$3:$G$6,2,0)</f>
        <v>商品Ｂ</v>
      </c>
      <c r="E7" s="3">
        <v>205</v>
      </c>
      <c r="F7" s="31">
        <f>ROUNDDOWN(VLOOKUP(C7,テーブル!$E$3:$G$6,3,0)*(1+VLOOKUP(E7,テーブル!$I$4:$K$6,MOD(C7,10)+1,1)),-1)</f>
        <v>2750</v>
      </c>
      <c r="G7" s="32">
        <f t="shared" si="1"/>
        <v>43980</v>
      </c>
      <c r="H7" s="33">
        <f t="shared" si="0"/>
        <v>519770</v>
      </c>
      <c r="I7" s="34">
        <f>H7-VLOOKUP(C7,テーブル!$E$3:$G$6,3,0)*E7</f>
        <v>75330</v>
      </c>
    </row>
    <row r="8" spans="1:9">
      <c r="A8" s="45" t="s">
        <v>49</v>
      </c>
      <c r="B8" s="3" t="str">
        <f>VLOOKUP(A8,テーブル!$A$3:$C$8,2,0)</f>
        <v>長田堂</v>
      </c>
      <c r="C8" s="3">
        <v>201</v>
      </c>
      <c r="D8" s="14" t="str">
        <f>VLOOKUP(C8,テーブル!$E$3:$G$6,2,0)</f>
        <v>商品Ｃ</v>
      </c>
      <c r="E8" s="3">
        <v>183</v>
      </c>
      <c r="F8" s="31">
        <f>ROUNDDOWN(VLOOKUP(C8,テーブル!$E$3:$G$6,3,0)*(1+VLOOKUP(E8,テーブル!$I$4:$K$6,MOD(C8,10)+1,1)),-1)</f>
        <v>2340</v>
      </c>
      <c r="G8" s="32">
        <f t="shared" si="1"/>
        <v>26550</v>
      </c>
      <c r="H8" s="33">
        <f t="shared" si="0"/>
        <v>401670</v>
      </c>
      <c r="I8" s="34">
        <f>H8-VLOOKUP(C8,テーブル!$E$3:$G$6,3,0)*E8</f>
        <v>66048</v>
      </c>
    </row>
    <row r="9" spans="1:9">
      <c r="A9" s="45" t="s">
        <v>49</v>
      </c>
      <c r="B9" s="3" t="str">
        <f>VLOOKUP(A9,テーブル!$A$3:$C$8,2,0)</f>
        <v>長田堂</v>
      </c>
      <c r="C9" s="3">
        <v>202</v>
      </c>
      <c r="D9" s="14" t="str">
        <f>VLOOKUP(C9,テーブル!$E$3:$G$6,2,0)</f>
        <v>商品Ｄ</v>
      </c>
      <c r="E9" s="3">
        <v>102</v>
      </c>
      <c r="F9" s="31">
        <f>ROUNDDOWN(VLOOKUP(C9,テーブル!$E$3:$G$6,3,0)*(1+VLOOKUP(E9,テーブル!$I$4:$K$6,MOD(C9,10)+1,1)),-1)</f>
        <v>2920</v>
      </c>
      <c r="G9" s="32">
        <f t="shared" si="1"/>
        <v>23240</v>
      </c>
      <c r="H9" s="33">
        <f t="shared" si="0"/>
        <v>274600</v>
      </c>
      <c r="I9" s="34">
        <f>H9-VLOOKUP(C9,テーブル!$E$3:$G$6,3,0)*E9</f>
        <v>45406</v>
      </c>
    </row>
    <row r="10" spans="1:9">
      <c r="A10" s="45" t="s">
        <v>50</v>
      </c>
      <c r="B10" s="3" t="str">
        <f>VLOOKUP(A10,テーブル!$A$3:$C$8,2,0)</f>
        <v>上川商事</v>
      </c>
      <c r="C10" s="3">
        <v>101</v>
      </c>
      <c r="D10" s="14" t="str">
        <f>VLOOKUP(C10,テーブル!$E$3:$G$6,2,0)</f>
        <v>商品Ａ</v>
      </c>
      <c r="E10" s="3">
        <v>158</v>
      </c>
      <c r="F10" s="31">
        <f>ROUNDDOWN(VLOOKUP(C10,テーブル!$E$3:$G$6,3,0)*(1+VLOOKUP(E10,テーブル!$I$4:$K$6,MOD(C10,10)+1,1)),-1)</f>
        <v>2280</v>
      </c>
      <c r="G10" s="32">
        <f t="shared" si="1"/>
        <v>22340</v>
      </c>
      <c r="H10" s="33">
        <f t="shared" si="0"/>
        <v>337900</v>
      </c>
      <c r="I10" s="34">
        <f>H10-VLOOKUP(C10,テーブル!$E$3:$G$6,3,0)*E10</f>
        <v>56028</v>
      </c>
    </row>
    <row r="11" spans="1:9">
      <c r="A11" s="45" t="s">
        <v>50</v>
      </c>
      <c r="B11" s="3" t="str">
        <f>VLOOKUP(A11,テーブル!$A$3:$C$8,2,0)</f>
        <v>上川商事</v>
      </c>
      <c r="C11" s="3">
        <v>102</v>
      </c>
      <c r="D11" s="14" t="str">
        <f>VLOOKUP(C11,テーブル!$E$3:$G$6,2,0)</f>
        <v>商品Ｂ</v>
      </c>
      <c r="E11" s="3">
        <v>121</v>
      </c>
      <c r="F11" s="31">
        <f>ROUNDDOWN(VLOOKUP(C11,テーブル!$E$3:$G$6,3,0)*(1+VLOOKUP(E11,テーブル!$I$4:$K$6,MOD(C11,10)+1,1)),-1)</f>
        <v>2810</v>
      </c>
      <c r="G11" s="32">
        <f t="shared" si="1"/>
        <v>26530</v>
      </c>
      <c r="H11" s="33">
        <f t="shared" si="0"/>
        <v>313480</v>
      </c>
      <c r="I11" s="34">
        <f>H11-VLOOKUP(C11,テーブル!$E$3:$G$6,3,0)*E11</f>
        <v>51152</v>
      </c>
    </row>
    <row r="12" spans="1:9">
      <c r="A12" s="45" t="s">
        <v>50</v>
      </c>
      <c r="B12" s="3" t="str">
        <f>VLOOKUP(A12,テーブル!$A$3:$C$8,2,0)</f>
        <v>上川商事</v>
      </c>
      <c r="C12" s="3">
        <v>201</v>
      </c>
      <c r="D12" s="14" t="str">
        <f>VLOOKUP(C12,テーブル!$E$3:$G$6,2,0)</f>
        <v>商品Ｃ</v>
      </c>
      <c r="E12" s="3">
        <v>180</v>
      </c>
      <c r="F12" s="31">
        <f>ROUNDDOWN(VLOOKUP(C12,テーブル!$E$3:$G$6,3,0)*(1+VLOOKUP(E12,テーブル!$I$4:$K$6,MOD(C12,10)+1,1)),-1)</f>
        <v>2340</v>
      </c>
      <c r="G12" s="32">
        <f t="shared" si="1"/>
        <v>26120</v>
      </c>
      <c r="H12" s="33">
        <f t="shared" si="0"/>
        <v>395080</v>
      </c>
      <c r="I12" s="34">
        <f>H12-VLOOKUP(C12,テーブル!$E$3:$G$6,3,0)*E12</f>
        <v>64960</v>
      </c>
    </row>
    <row r="13" spans="1:9">
      <c r="A13" s="45" t="s">
        <v>50</v>
      </c>
      <c r="B13" s="3" t="str">
        <f>VLOOKUP(A13,テーブル!$A$3:$C$8,2,0)</f>
        <v>上川商事</v>
      </c>
      <c r="C13" s="3">
        <v>202</v>
      </c>
      <c r="D13" s="14" t="str">
        <f>VLOOKUP(C13,テーブル!$E$3:$G$6,2,0)</f>
        <v>商品Ｄ</v>
      </c>
      <c r="E13" s="3">
        <v>195</v>
      </c>
      <c r="F13" s="31">
        <f>ROUNDDOWN(VLOOKUP(C13,テーブル!$E$3:$G$6,3,0)*(1+VLOOKUP(E13,テーブル!$I$4:$K$6,MOD(C13,10)+1,1)),-1)</f>
        <v>2850</v>
      </c>
      <c r="G13" s="32">
        <f t="shared" si="1"/>
        <v>43350</v>
      </c>
      <c r="H13" s="33">
        <f t="shared" si="0"/>
        <v>512400</v>
      </c>
      <c r="I13" s="34">
        <f>H13-VLOOKUP(C13,テーブル!$E$3:$G$6,3,0)*E13</f>
        <v>74235</v>
      </c>
    </row>
    <row r="14" spans="1:9">
      <c r="A14" s="2" t="s">
        <v>34</v>
      </c>
      <c r="B14" s="3" t="str">
        <f>VLOOKUP(A14,テーブル!$A$3:$C$8,2,0)</f>
        <v>ＯＲＩＭＥ</v>
      </c>
      <c r="C14" s="3">
        <v>101</v>
      </c>
      <c r="D14" s="14" t="str">
        <f>VLOOKUP(C14,テーブル!$E$3:$G$6,2,0)</f>
        <v>商品Ａ</v>
      </c>
      <c r="E14" s="3">
        <v>232</v>
      </c>
      <c r="F14" s="31">
        <f>ROUNDDOWN(VLOOKUP(C14,テーブル!$E$3:$G$6,3,0)*(1+VLOOKUP(E14,テーブル!$I$4:$K$6,MOD(C14,10)+1,1)),-1)</f>
        <v>2230</v>
      </c>
      <c r="G14" s="32">
        <f t="shared" si="1"/>
        <v>40360</v>
      </c>
      <c r="H14" s="33">
        <f t="shared" si="0"/>
        <v>477000</v>
      </c>
      <c r="I14" s="34">
        <f>H14-VLOOKUP(C14,テーブル!$E$3:$G$6,3,0)*E14</f>
        <v>63112</v>
      </c>
    </row>
    <row r="15" spans="1:9">
      <c r="A15" s="2" t="s">
        <v>34</v>
      </c>
      <c r="B15" s="3" t="str">
        <f>VLOOKUP(A15,テーブル!$A$3:$C$8,2,0)</f>
        <v>ＯＲＩＭＥ</v>
      </c>
      <c r="C15" s="3">
        <v>102</v>
      </c>
      <c r="D15" s="14" t="str">
        <f>VLOOKUP(C15,テーブル!$E$3:$G$6,2,0)</f>
        <v>商品Ｂ</v>
      </c>
      <c r="E15" s="3">
        <v>148</v>
      </c>
      <c r="F15" s="31">
        <f>ROUNDDOWN(VLOOKUP(C15,テーブル!$E$3:$G$6,3,0)*(1+VLOOKUP(E15,テーブル!$I$4:$K$6,MOD(C15,10)+1,1)),-1)</f>
        <v>2810</v>
      </c>
      <c r="G15" s="32">
        <f t="shared" si="1"/>
        <v>32440</v>
      </c>
      <c r="H15" s="33">
        <f t="shared" si="0"/>
        <v>383440</v>
      </c>
      <c r="I15" s="34">
        <f>H15-VLOOKUP(C15,テーブル!$E$3:$G$6,3,0)*E15</f>
        <v>62576</v>
      </c>
    </row>
    <row r="16" spans="1:9">
      <c r="A16" s="2" t="s">
        <v>34</v>
      </c>
      <c r="B16" s="3" t="str">
        <f>VLOOKUP(A16,テーブル!$A$3:$C$8,2,0)</f>
        <v>ＯＲＩＭＥ</v>
      </c>
      <c r="C16" s="3">
        <v>201</v>
      </c>
      <c r="D16" s="14" t="str">
        <f>VLOOKUP(C16,テーブル!$E$3:$G$6,2,0)</f>
        <v>商品Ｃ</v>
      </c>
      <c r="E16" s="3">
        <v>189</v>
      </c>
      <c r="F16" s="31">
        <f>ROUNDDOWN(VLOOKUP(C16,テーブル!$E$3:$G$6,3,0)*(1+VLOOKUP(E16,テーブル!$I$4:$K$6,MOD(C16,10)+1,1)),-1)</f>
        <v>2340</v>
      </c>
      <c r="G16" s="32">
        <f t="shared" si="1"/>
        <v>27430</v>
      </c>
      <c r="H16" s="33">
        <f t="shared" si="0"/>
        <v>414830</v>
      </c>
      <c r="I16" s="34">
        <f>H16-VLOOKUP(C16,テーブル!$E$3:$G$6,3,0)*E16</f>
        <v>68204</v>
      </c>
    </row>
    <row r="17" spans="1:10">
      <c r="A17" s="2" t="s">
        <v>34</v>
      </c>
      <c r="B17" s="3" t="str">
        <f>VLOOKUP(A17,テーブル!$A$3:$C$8,2,0)</f>
        <v>ＯＲＩＭＥ</v>
      </c>
      <c r="C17" s="3">
        <v>202</v>
      </c>
      <c r="D17" s="14" t="str">
        <f>VLOOKUP(C17,テーブル!$E$3:$G$6,2,0)</f>
        <v>商品Ｄ</v>
      </c>
      <c r="E17" s="3">
        <v>209</v>
      </c>
      <c r="F17" s="31">
        <f>ROUNDDOWN(VLOOKUP(C17,テーブル!$E$3:$G$6,3,0)*(1+VLOOKUP(E17,テーブル!$I$4:$K$6,MOD(C17,10)+1,1)),-1)</f>
        <v>2850</v>
      </c>
      <c r="G17" s="32">
        <f t="shared" si="1"/>
        <v>46470</v>
      </c>
      <c r="H17" s="33">
        <f t="shared" si="0"/>
        <v>549180</v>
      </c>
      <c r="I17" s="34">
        <f>H17-VLOOKUP(C17,テーブル!$E$3:$G$6,3,0)*E17</f>
        <v>79557</v>
      </c>
    </row>
    <row r="18" spans="1:10">
      <c r="A18" s="2" t="s">
        <v>36</v>
      </c>
      <c r="B18" s="3" t="str">
        <f>VLOOKUP(A18,テーブル!$A$3:$C$8,2,0)</f>
        <v>近藤百貨</v>
      </c>
      <c r="C18" s="3">
        <v>101</v>
      </c>
      <c r="D18" s="14" t="str">
        <f>VLOOKUP(C18,テーブル!$E$3:$G$6,2,0)</f>
        <v>商品Ａ</v>
      </c>
      <c r="E18" s="3">
        <v>121</v>
      </c>
      <c r="F18" s="31">
        <f>ROUNDDOWN(VLOOKUP(C18,テーブル!$E$3:$G$6,3,0)*(1+VLOOKUP(E18,テーブル!$I$4:$K$6,MOD(C18,10)+1,1)),-1)</f>
        <v>2330</v>
      </c>
      <c r="G18" s="32">
        <f t="shared" si="1"/>
        <v>17480</v>
      </c>
      <c r="H18" s="33">
        <f t="shared" si="0"/>
        <v>264450</v>
      </c>
      <c r="I18" s="34">
        <f>H18-VLOOKUP(C18,テーブル!$E$3:$G$6,3,0)*E18</f>
        <v>48586</v>
      </c>
    </row>
    <row r="19" spans="1:10">
      <c r="A19" s="2" t="s">
        <v>36</v>
      </c>
      <c r="B19" s="3" t="str">
        <f>VLOOKUP(A19,テーブル!$A$3:$C$8,2,0)</f>
        <v>近藤百貨</v>
      </c>
      <c r="C19" s="3">
        <v>102</v>
      </c>
      <c r="D19" s="14" t="str">
        <f>VLOOKUP(C19,テーブル!$E$3:$G$6,2,0)</f>
        <v>商品Ｂ</v>
      </c>
      <c r="E19" s="3">
        <v>106</v>
      </c>
      <c r="F19" s="31">
        <f>ROUNDDOWN(VLOOKUP(C19,テーブル!$E$3:$G$6,3,0)*(1+VLOOKUP(E19,テーブル!$I$4:$K$6,MOD(C19,10)+1,1)),-1)</f>
        <v>2810</v>
      </c>
      <c r="G19" s="32">
        <f t="shared" si="1"/>
        <v>23240</v>
      </c>
      <c r="H19" s="33">
        <f t="shared" si="0"/>
        <v>274620</v>
      </c>
      <c r="I19" s="34">
        <f>H19-VLOOKUP(C19,テーブル!$E$3:$G$6,3,0)*E19</f>
        <v>44812</v>
      </c>
    </row>
    <row r="20" spans="1:10">
      <c r="A20" s="2" t="s">
        <v>36</v>
      </c>
      <c r="B20" s="3" t="str">
        <f>VLOOKUP(A20,テーブル!$A$3:$C$8,2,0)</f>
        <v>近藤百貨</v>
      </c>
      <c r="C20" s="3">
        <v>201</v>
      </c>
      <c r="D20" s="14" t="str">
        <f>VLOOKUP(C20,テーブル!$E$3:$G$6,2,0)</f>
        <v>商品Ｃ</v>
      </c>
      <c r="E20" s="3">
        <v>222</v>
      </c>
      <c r="F20" s="31">
        <f>ROUNDDOWN(VLOOKUP(C20,テーブル!$E$3:$G$6,3,0)*(1+VLOOKUP(E20,テーブル!$I$4:$K$6,MOD(C20,10)+1,1)),-1)</f>
        <v>2290</v>
      </c>
      <c r="G20" s="32">
        <f t="shared" si="1"/>
        <v>39660</v>
      </c>
      <c r="H20" s="33">
        <f t="shared" si="0"/>
        <v>468720</v>
      </c>
      <c r="I20" s="34">
        <f>H20-VLOOKUP(C20,テーブル!$E$3:$G$6,3,0)*E20</f>
        <v>61572</v>
      </c>
    </row>
    <row r="21" spans="1:10">
      <c r="A21" s="2" t="s">
        <v>36</v>
      </c>
      <c r="B21" s="3" t="str">
        <f>VLOOKUP(A21,テーブル!$A$3:$C$8,2,0)</f>
        <v>近藤百貨</v>
      </c>
      <c r="C21" s="3">
        <v>202</v>
      </c>
      <c r="D21" s="14" t="str">
        <f>VLOOKUP(C21,テーブル!$E$3:$G$6,2,0)</f>
        <v>商品Ｄ</v>
      </c>
      <c r="E21" s="3">
        <v>210</v>
      </c>
      <c r="F21" s="31">
        <f>ROUNDDOWN(VLOOKUP(C21,テーブル!$E$3:$G$6,3,0)*(1+VLOOKUP(E21,テーブル!$I$4:$K$6,MOD(C21,10)+1,1)),-1)</f>
        <v>2780</v>
      </c>
      <c r="G21" s="32">
        <f t="shared" si="1"/>
        <v>45540</v>
      </c>
      <c r="H21" s="33">
        <f t="shared" si="0"/>
        <v>538260</v>
      </c>
      <c r="I21" s="34">
        <f>H21-VLOOKUP(C21,テーブル!$E$3:$G$6,3,0)*E21</f>
        <v>66390</v>
      </c>
    </row>
    <row r="22" spans="1:10">
      <c r="A22" s="2" t="s">
        <v>38</v>
      </c>
      <c r="B22" s="3" t="str">
        <f>VLOOKUP(A22,テーブル!$A$3:$C$8,2,0)</f>
        <v>堂本用品</v>
      </c>
      <c r="C22" s="3">
        <v>101</v>
      </c>
      <c r="D22" s="14" t="str">
        <f>VLOOKUP(C22,テーブル!$E$3:$G$6,2,0)</f>
        <v>商品Ａ</v>
      </c>
      <c r="E22" s="3">
        <v>120</v>
      </c>
      <c r="F22" s="31">
        <f>ROUNDDOWN(VLOOKUP(C22,テーブル!$E$3:$G$6,3,0)*(1+VLOOKUP(E22,テーブル!$I$4:$K$6,MOD(C22,10)+1,1)),-1)</f>
        <v>2330</v>
      </c>
      <c r="G22" s="32">
        <f t="shared" si="1"/>
        <v>17340</v>
      </c>
      <c r="H22" s="33">
        <f t="shared" si="0"/>
        <v>262260</v>
      </c>
      <c r="I22" s="34">
        <f>H22-VLOOKUP(C22,テーブル!$E$3:$G$6,3,0)*E22</f>
        <v>48180</v>
      </c>
    </row>
    <row r="23" spans="1:10">
      <c r="A23" s="2" t="s">
        <v>38</v>
      </c>
      <c r="B23" s="3" t="str">
        <f>VLOOKUP(A23,テーブル!$A$3:$C$8,2,0)</f>
        <v>堂本用品</v>
      </c>
      <c r="C23" s="3">
        <v>102</v>
      </c>
      <c r="D23" s="14" t="str">
        <f>VLOOKUP(C23,テーブル!$E$3:$G$6,2,0)</f>
        <v>商品Ｂ</v>
      </c>
      <c r="E23" s="3">
        <v>226</v>
      </c>
      <c r="F23" s="31">
        <f>ROUNDDOWN(VLOOKUP(C23,テーブル!$E$3:$G$6,3,0)*(1+VLOOKUP(E23,テーブル!$I$4:$K$6,MOD(C23,10)+1,1)),-1)</f>
        <v>2680</v>
      </c>
      <c r="G23" s="32">
        <f t="shared" si="1"/>
        <v>47250</v>
      </c>
      <c r="H23" s="33">
        <f t="shared" si="0"/>
        <v>558430</v>
      </c>
      <c r="I23" s="34">
        <f>H23-VLOOKUP(C23,テーブル!$E$3:$G$6,3,0)*E23</f>
        <v>68462</v>
      </c>
    </row>
    <row r="24" spans="1:10">
      <c r="A24" s="2" t="s">
        <v>38</v>
      </c>
      <c r="B24" s="3" t="str">
        <f>VLOOKUP(A24,テーブル!$A$3:$C$8,2,0)</f>
        <v>堂本用品</v>
      </c>
      <c r="C24" s="3">
        <v>201</v>
      </c>
      <c r="D24" s="14" t="str">
        <f>VLOOKUP(C24,テーブル!$E$3:$G$6,2,0)</f>
        <v>商品Ｃ</v>
      </c>
      <c r="E24" s="3">
        <v>185</v>
      </c>
      <c r="F24" s="31">
        <f>ROUNDDOWN(VLOOKUP(C24,テーブル!$E$3:$G$6,3,0)*(1+VLOOKUP(E24,テーブル!$I$4:$K$6,MOD(C24,10)+1,1)),-1)</f>
        <v>2340</v>
      </c>
      <c r="G24" s="32">
        <f t="shared" si="1"/>
        <v>26840</v>
      </c>
      <c r="H24" s="33">
        <f t="shared" si="0"/>
        <v>406060</v>
      </c>
      <c r="I24" s="34">
        <f>H24-VLOOKUP(C24,テーブル!$E$3:$G$6,3,0)*E24</f>
        <v>66770</v>
      </c>
    </row>
    <row r="25" spans="1:10">
      <c r="A25" s="2" t="s">
        <v>38</v>
      </c>
      <c r="B25" s="3" t="str">
        <f>VLOOKUP(A25,テーブル!$A$3:$C$8,2,0)</f>
        <v>堂本用品</v>
      </c>
      <c r="C25" s="3">
        <v>202</v>
      </c>
      <c r="D25" s="14" t="str">
        <f>VLOOKUP(C25,テーブル!$E$3:$G$6,2,0)</f>
        <v>商品Ｄ</v>
      </c>
      <c r="E25" s="3">
        <v>99</v>
      </c>
      <c r="F25" s="31">
        <f>ROUNDDOWN(VLOOKUP(C25,テーブル!$E$3:$G$6,3,0)*(1+VLOOKUP(E25,テーブル!$I$4:$K$6,MOD(C25,10)+1,1)),-1)</f>
        <v>2920</v>
      </c>
      <c r="G25" s="32">
        <f t="shared" si="1"/>
        <v>22550</v>
      </c>
      <c r="H25" s="33">
        <f t="shared" si="0"/>
        <v>266530</v>
      </c>
      <c r="I25" s="34">
        <f>H25-VLOOKUP(C25,テーブル!$E$3:$G$6,3,0)*E25</f>
        <v>44077</v>
      </c>
    </row>
    <row r="26" spans="1:10">
      <c r="A26" s="2"/>
      <c r="B26" s="3"/>
      <c r="C26" s="3"/>
      <c r="D26" s="3"/>
      <c r="E26" s="3"/>
      <c r="F26" s="3"/>
      <c r="G26" s="3"/>
      <c r="H26" s="3"/>
      <c r="I26" s="6"/>
    </row>
    <row r="27" spans="1:10" ht="14.25" thickBot="1">
      <c r="A27" s="7"/>
      <c r="B27" s="8" t="s">
        <v>30</v>
      </c>
      <c r="C27" s="36"/>
      <c r="D27" s="35"/>
      <c r="E27" s="37">
        <f>SUM(E2:E25)</f>
        <v>4052</v>
      </c>
      <c r="F27" s="37"/>
      <c r="G27" s="37">
        <f>SUM(G2:G25)</f>
        <v>749710</v>
      </c>
      <c r="H27" s="37">
        <f>SUM(H2:H25)</f>
        <v>9560410</v>
      </c>
      <c r="I27" s="38">
        <f>SUM(I2:I25)</f>
        <v>1465430</v>
      </c>
      <c r="J27" s="59" t="s">
        <v>54</v>
      </c>
    </row>
    <row r="29" spans="1:10">
      <c r="F29" s="17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9"/>
  <sheetViews>
    <sheetView workbookViewId="0"/>
  </sheetViews>
  <sheetFormatPr defaultRowHeight="13.5"/>
  <cols>
    <col min="1" max="1" width="7.5" style="1" bestFit="1" customWidth="1"/>
    <col min="2" max="2" width="11.625" style="1" bestFit="1" customWidth="1"/>
    <col min="3" max="4" width="7.5" style="1" bestFit="1" customWidth="1"/>
    <col min="5" max="5" width="7.5" style="1" customWidth="1"/>
    <col min="6" max="6" width="6.5" style="1" bestFit="1" customWidth="1"/>
    <col min="7" max="7" width="8.5" style="1" bestFit="1" customWidth="1"/>
    <col min="8" max="9" width="10.5" style="1" bestFit="1" customWidth="1"/>
    <col min="10" max="16384" width="9" style="1"/>
  </cols>
  <sheetData>
    <row r="1" spans="1:9">
      <c r="A1" s="11" t="s">
        <v>8</v>
      </c>
      <c r="B1" s="29" t="s">
        <v>9</v>
      </c>
      <c r="C1" s="29" t="s">
        <v>3</v>
      </c>
      <c r="D1" s="29" t="s">
        <v>4</v>
      </c>
      <c r="E1" s="29" t="s">
        <v>10</v>
      </c>
      <c r="F1" s="29" t="s">
        <v>13</v>
      </c>
      <c r="G1" s="29" t="s">
        <v>12</v>
      </c>
      <c r="H1" s="29" t="s">
        <v>11</v>
      </c>
      <c r="I1" s="30" t="s">
        <v>16</v>
      </c>
    </row>
    <row r="2" spans="1:9">
      <c r="A2" s="2" t="s">
        <v>32</v>
      </c>
      <c r="B2" s="3" t="str">
        <f>VLOOKUP(A2,テーブル!$A$3:$C$8,2,0)</f>
        <v>ショップ東</v>
      </c>
      <c r="C2" s="3">
        <v>101</v>
      </c>
      <c r="D2" s="14" t="str">
        <f>VLOOKUP(C2,テーブル!$E$3:$G$6,2,0)</f>
        <v>商品Ａ</v>
      </c>
      <c r="E2" s="3">
        <v>158</v>
      </c>
      <c r="F2" s="31">
        <f>ROUNDDOWN(VLOOKUP(C2,テーブル!$E$3:$G$6,3,0)*(1+VLOOKUP(E2,テーブル!$I$4:$K$6,MOD(C2,10)+1,1)),-1)</f>
        <v>2280</v>
      </c>
      <c r="G2" s="32">
        <f>ROUNDUP(IF(OR(E2&gt;=200,F2&gt;=2750),F2*E2*7.8%,F2*E2*6.2%),-1)</f>
        <v>22340</v>
      </c>
      <c r="H2" s="33">
        <f t="shared" ref="H2:H25" si="0">F2*E2-G2</f>
        <v>337900</v>
      </c>
      <c r="I2" s="34">
        <f>H2-VLOOKUP(C2,テーブル!$E$3:$G$6,3,0)*E2</f>
        <v>56028</v>
      </c>
    </row>
    <row r="3" spans="1:9">
      <c r="A3" s="2" t="s">
        <v>32</v>
      </c>
      <c r="B3" s="3" t="str">
        <f>VLOOKUP(A3,テーブル!$A$3:$C$8,2,0)</f>
        <v>ショップ東</v>
      </c>
      <c r="C3" s="3">
        <v>102</v>
      </c>
      <c r="D3" s="14" t="str">
        <f>VLOOKUP(C3,テーブル!$E$3:$G$6,2,0)</f>
        <v>商品Ｂ</v>
      </c>
      <c r="E3" s="3">
        <v>124</v>
      </c>
      <c r="F3" s="31">
        <f>ROUNDDOWN(VLOOKUP(C3,テーブル!$E$3:$G$6,3,0)*(1+VLOOKUP(E3,テーブル!$I$4:$K$6,MOD(C3,10)+1,1)),-1)</f>
        <v>2810</v>
      </c>
      <c r="G3" s="32">
        <f t="shared" ref="G3:G25" si="1">ROUNDUP(IF(OR(E3&gt;=200,F3&gt;=2750),F3*E3*7.8%,F3*E3*6.2%),-1)</f>
        <v>27180</v>
      </c>
      <c r="H3" s="33">
        <f t="shared" si="0"/>
        <v>321260</v>
      </c>
      <c r="I3" s="34">
        <f>H3-VLOOKUP(C3,テーブル!$E$3:$G$6,3,0)*E3</f>
        <v>52428</v>
      </c>
    </row>
    <row r="4" spans="1:9">
      <c r="A4" s="2" t="s">
        <v>32</v>
      </c>
      <c r="B4" s="3" t="str">
        <f>VLOOKUP(A4,テーブル!$A$3:$C$8,2,0)</f>
        <v>ショップ東</v>
      </c>
      <c r="C4" s="3">
        <v>201</v>
      </c>
      <c r="D4" s="14" t="str">
        <f>VLOOKUP(C4,テーブル!$E$3:$G$6,2,0)</f>
        <v>商品Ｃ</v>
      </c>
      <c r="E4" s="3">
        <v>149</v>
      </c>
      <c r="F4" s="31">
        <f>ROUNDDOWN(VLOOKUP(C4,テーブル!$E$3:$G$6,3,0)*(1+VLOOKUP(E4,テーブル!$I$4:$K$6,MOD(C4,10)+1,1)),-1)</f>
        <v>2400</v>
      </c>
      <c r="G4" s="32">
        <f t="shared" si="1"/>
        <v>22180</v>
      </c>
      <c r="H4" s="33">
        <f t="shared" si="0"/>
        <v>335420</v>
      </c>
      <c r="I4" s="34">
        <f>H4-VLOOKUP(C4,テーブル!$E$3:$G$6,3,0)*E4</f>
        <v>62154</v>
      </c>
    </row>
    <row r="5" spans="1:9">
      <c r="A5" s="2" t="s">
        <v>32</v>
      </c>
      <c r="B5" s="3" t="str">
        <f>VLOOKUP(A5,テーブル!$A$3:$C$8,2,0)</f>
        <v>ショップ東</v>
      </c>
      <c r="C5" s="3">
        <v>202</v>
      </c>
      <c r="D5" s="14" t="str">
        <f>VLOOKUP(C5,テーブル!$E$3:$G$6,2,0)</f>
        <v>商品Ｄ</v>
      </c>
      <c r="E5" s="3">
        <v>217</v>
      </c>
      <c r="F5" s="31">
        <f>ROUNDDOWN(VLOOKUP(C5,テーブル!$E$3:$G$6,3,0)*(1+VLOOKUP(E5,テーブル!$I$4:$K$6,MOD(C5,10)+1,1)),-1)</f>
        <v>2780</v>
      </c>
      <c r="G5" s="32">
        <f t="shared" si="1"/>
        <v>47060</v>
      </c>
      <c r="H5" s="33">
        <f t="shared" si="0"/>
        <v>556200</v>
      </c>
      <c r="I5" s="34">
        <f>H5-VLOOKUP(C5,テーブル!$E$3:$G$6,3,0)*E5</f>
        <v>68601</v>
      </c>
    </row>
    <row r="6" spans="1:9">
      <c r="A6" s="45" t="s">
        <v>49</v>
      </c>
      <c r="B6" s="3" t="str">
        <f>VLOOKUP(A6,テーブル!$A$3:$C$8,2,0)</f>
        <v>長田堂</v>
      </c>
      <c r="C6" s="3">
        <v>101</v>
      </c>
      <c r="D6" s="14" t="str">
        <f>VLOOKUP(C6,テーブル!$E$3:$G$6,2,0)</f>
        <v>商品Ａ</v>
      </c>
      <c r="E6" s="3">
        <v>139</v>
      </c>
      <c r="F6" s="31">
        <f>ROUNDDOWN(VLOOKUP(C6,テーブル!$E$3:$G$6,3,0)*(1+VLOOKUP(E6,テーブル!$I$4:$K$6,MOD(C6,10)+1,1)),-1)</f>
        <v>2330</v>
      </c>
      <c r="G6" s="32">
        <f t="shared" si="1"/>
        <v>20080</v>
      </c>
      <c r="H6" s="33">
        <f t="shared" si="0"/>
        <v>303790</v>
      </c>
      <c r="I6" s="34">
        <f>H6-VLOOKUP(C6,テーブル!$E$3:$G$6,3,0)*E6</f>
        <v>55814</v>
      </c>
    </row>
    <row r="7" spans="1:9">
      <c r="A7" s="45" t="s">
        <v>49</v>
      </c>
      <c r="B7" s="3" t="str">
        <f>VLOOKUP(A7,テーブル!$A$3:$C$8,2,0)</f>
        <v>長田堂</v>
      </c>
      <c r="C7" s="3">
        <v>102</v>
      </c>
      <c r="D7" s="14" t="str">
        <f>VLOOKUP(C7,テーブル!$E$3:$G$6,2,0)</f>
        <v>商品Ｂ</v>
      </c>
      <c r="E7" s="3">
        <v>202</v>
      </c>
      <c r="F7" s="31">
        <f>ROUNDDOWN(VLOOKUP(C7,テーブル!$E$3:$G$6,3,0)*(1+VLOOKUP(E7,テーブル!$I$4:$K$6,MOD(C7,10)+1,1)),-1)</f>
        <v>2750</v>
      </c>
      <c r="G7" s="32">
        <f t="shared" si="1"/>
        <v>43330</v>
      </c>
      <c r="H7" s="33">
        <f t="shared" si="0"/>
        <v>512170</v>
      </c>
      <c r="I7" s="34">
        <f>H7-VLOOKUP(C7,テーブル!$E$3:$G$6,3,0)*E7</f>
        <v>74234</v>
      </c>
    </row>
    <row r="8" spans="1:9">
      <c r="A8" s="45" t="s">
        <v>49</v>
      </c>
      <c r="B8" s="3" t="str">
        <f>VLOOKUP(A8,テーブル!$A$3:$C$8,2,0)</f>
        <v>長田堂</v>
      </c>
      <c r="C8" s="3">
        <v>201</v>
      </c>
      <c r="D8" s="14" t="str">
        <f>VLOOKUP(C8,テーブル!$E$3:$G$6,2,0)</f>
        <v>商品Ｃ</v>
      </c>
      <c r="E8" s="3">
        <v>184</v>
      </c>
      <c r="F8" s="31">
        <f>ROUNDDOWN(VLOOKUP(C8,テーブル!$E$3:$G$6,3,0)*(1+VLOOKUP(E8,テーブル!$I$4:$K$6,MOD(C8,10)+1,1)),-1)</f>
        <v>2340</v>
      </c>
      <c r="G8" s="32">
        <f t="shared" si="1"/>
        <v>26700</v>
      </c>
      <c r="H8" s="33">
        <f t="shared" si="0"/>
        <v>403860</v>
      </c>
      <c r="I8" s="34">
        <f>H8-VLOOKUP(C8,テーブル!$E$3:$G$6,3,0)*E8</f>
        <v>66404</v>
      </c>
    </row>
    <row r="9" spans="1:9">
      <c r="A9" s="45" t="s">
        <v>49</v>
      </c>
      <c r="B9" s="3" t="str">
        <f>VLOOKUP(A9,テーブル!$A$3:$C$8,2,0)</f>
        <v>長田堂</v>
      </c>
      <c r="C9" s="3">
        <v>202</v>
      </c>
      <c r="D9" s="14" t="str">
        <f>VLOOKUP(C9,テーブル!$E$3:$G$6,2,0)</f>
        <v>商品Ｄ</v>
      </c>
      <c r="E9" s="3">
        <v>163</v>
      </c>
      <c r="F9" s="31">
        <f>ROUNDDOWN(VLOOKUP(C9,テーブル!$E$3:$G$6,3,0)*(1+VLOOKUP(E9,テーブル!$I$4:$K$6,MOD(C9,10)+1,1)),-1)</f>
        <v>2850</v>
      </c>
      <c r="G9" s="32">
        <f t="shared" si="1"/>
        <v>36240</v>
      </c>
      <c r="H9" s="33">
        <f t="shared" si="0"/>
        <v>428310</v>
      </c>
      <c r="I9" s="34">
        <f>H9-VLOOKUP(C9,テーブル!$E$3:$G$6,3,0)*E9</f>
        <v>62049</v>
      </c>
    </row>
    <row r="10" spans="1:9">
      <c r="A10" s="45" t="s">
        <v>50</v>
      </c>
      <c r="B10" s="3" t="str">
        <f>VLOOKUP(A10,テーブル!$A$3:$C$8,2,0)</f>
        <v>上川商事</v>
      </c>
      <c r="C10" s="3">
        <v>101</v>
      </c>
      <c r="D10" s="14" t="str">
        <f>VLOOKUP(C10,テーブル!$E$3:$G$6,2,0)</f>
        <v>商品Ａ</v>
      </c>
      <c r="E10" s="3">
        <v>107</v>
      </c>
      <c r="F10" s="31">
        <f>ROUNDDOWN(VLOOKUP(C10,テーブル!$E$3:$G$6,3,0)*(1+VLOOKUP(E10,テーブル!$I$4:$K$6,MOD(C10,10)+1,1)),-1)</f>
        <v>2330</v>
      </c>
      <c r="G10" s="32">
        <f t="shared" si="1"/>
        <v>15460</v>
      </c>
      <c r="H10" s="33">
        <f t="shared" si="0"/>
        <v>233850</v>
      </c>
      <c r="I10" s="34">
        <f>H10-VLOOKUP(C10,テーブル!$E$3:$G$6,3,0)*E10</f>
        <v>42962</v>
      </c>
    </row>
    <row r="11" spans="1:9">
      <c r="A11" s="45" t="s">
        <v>50</v>
      </c>
      <c r="B11" s="3" t="str">
        <f>VLOOKUP(A11,テーブル!$A$3:$C$8,2,0)</f>
        <v>上川商事</v>
      </c>
      <c r="C11" s="3">
        <v>102</v>
      </c>
      <c r="D11" s="14" t="str">
        <f>VLOOKUP(C11,テーブル!$E$3:$G$6,2,0)</f>
        <v>商品Ｂ</v>
      </c>
      <c r="E11" s="3">
        <v>186</v>
      </c>
      <c r="F11" s="31">
        <f>ROUNDDOWN(VLOOKUP(C11,テーブル!$E$3:$G$6,3,0)*(1+VLOOKUP(E11,テーブル!$I$4:$K$6,MOD(C11,10)+1,1)),-1)</f>
        <v>2750</v>
      </c>
      <c r="G11" s="32">
        <f t="shared" si="1"/>
        <v>39900</v>
      </c>
      <c r="H11" s="33">
        <f t="shared" si="0"/>
        <v>471600</v>
      </c>
      <c r="I11" s="34">
        <f>H11-VLOOKUP(C11,テーブル!$E$3:$G$6,3,0)*E11</f>
        <v>68352</v>
      </c>
    </row>
    <row r="12" spans="1:9">
      <c r="A12" s="45" t="s">
        <v>50</v>
      </c>
      <c r="B12" s="3" t="str">
        <f>VLOOKUP(A12,テーブル!$A$3:$C$8,2,0)</f>
        <v>上川商事</v>
      </c>
      <c r="C12" s="3">
        <v>201</v>
      </c>
      <c r="D12" s="14" t="str">
        <f>VLOOKUP(C12,テーブル!$E$3:$G$6,2,0)</f>
        <v>商品Ｃ</v>
      </c>
      <c r="E12" s="3">
        <v>182</v>
      </c>
      <c r="F12" s="31">
        <f>ROUNDDOWN(VLOOKUP(C12,テーブル!$E$3:$G$6,3,0)*(1+VLOOKUP(E12,テーブル!$I$4:$K$6,MOD(C12,10)+1,1)),-1)</f>
        <v>2340</v>
      </c>
      <c r="G12" s="32">
        <f t="shared" si="1"/>
        <v>26410</v>
      </c>
      <c r="H12" s="33">
        <f t="shared" si="0"/>
        <v>399470</v>
      </c>
      <c r="I12" s="34">
        <f>H12-VLOOKUP(C12,テーブル!$E$3:$G$6,3,0)*E12</f>
        <v>65682</v>
      </c>
    </row>
    <row r="13" spans="1:9">
      <c r="A13" s="45" t="s">
        <v>50</v>
      </c>
      <c r="B13" s="3" t="str">
        <f>VLOOKUP(A13,テーブル!$A$3:$C$8,2,0)</f>
        <v>上川商事</v>
      </c>
      <c r="C13" s="3">
        <v>202</v>
      </c>
      <c r="D13" s="14" t="str">
        <f>VLOOKUP(C13,テーブル!$E$3:$G$6,2,0)</f>
        <v>商品Ｄ</v>
      </c>
      <c r="E13" s="3">
        <v>226</v>
      </c>
      <c r="F13" s="31">
        <f>ROUNDDOWN(VLOOKUP(C13,テーブル!$E$3:$G$6,3,0)*(1+VLOOKUP(E13,テーブル!$I$4:$K$6,MOD(C13,10)+1,1)),-1)</f>
        <v>2780</v>
      </c>
      <c r="G13" s="32">
        <f t="shared" si="1"/>
        <v>49010</v>
      </c>
      <c r="H13" s="33">
        <f t="shared" si="0"/>
        <v>579270</v>
      </c>
      <c r="I13" s="34">
        <f>H13-VLOOKUP(C13,テーブル!$E$3:$G$6,3,0)*E13</f>
        <v>71448</v>
      </c>
    </row>
    <row r="14" spans="1:9">
      <c r="A14" s="2" t="s">
        <v>34</v>
      </c>
      <c r="B14" s="3" t="str">
        <f>VLOOKUP(A14,テーブル!$A$3:$C$8,2,0)</f>
        <v>ＯＲＩＭＥ</v>
      </c>
      <c r="C14" s="3">
        <v>101</v>
      </c>
      <c r="D14" s="14" t="str">
        <f>VLOOKUP(C14,テーブル!$E$3:$G$6,2,0)</f>
        <v>商品Ａ</v>
      </c>
      <c r="E14" s="3">
        <v>151</v>
      </c>
      <c r="F14" s="31">
        <f>ROUNDDOWN(VLOOKUP(C14,テーブル!$E$3:$G$6,3,0)*(1+VLOOKUP(E14,テーブル!$I$4:$K$6,MOD(C14,10)+1,1)),-1)</f>
        <v>2280</v>
      </c>
      <c r="G14" s="32">
        <f t="shared" si="1"/>
        <v>21350</v>
      </c>
      <c r="H14" s="33">
        <f t="shared" si="0"/>
        <v>322930</v>
      </c>
      <c r="I14" s="34">
        <f>H14-VLOOKUP(C14,テーブル!$E$3:$G$6,3,0)*E14</f>
        <v>53546</v>
      </c>
    </row>
    <row r="15" spans="1:9">
      <c r="A15" s="2" t="s">
        <v>34</v>
      </c>
      <c r="B15" s="3" t="str">
        <f>VLOOKUP(A15,テーブル!$A$3:$C$8,2,0)</f>
        <v>ＯＲＩＭＥ</v>
      </c>
      <c r="C15" s="3">
        <v>102</v>
      </c>
      <c r="D15" s="14" t="str">
        <f>VLOOKUP(C15,テーブル!$E$3:$G$6,2,0)</f>
        <v>商品Ｂ</v>
      </c>
      <c r="E15" s="3">
        <v>193</v>
      </c>
      <c r="F15" s="31">
        <f>ROUNDDOWN(VLOOKUP(C15,テーブル!$E$3:$G$6,3,0)*(1+VLOOKUP(E15,テーブル!$I$4:$K$6,MOD(C15,10)+1,1)),-1)</f>
        <v>2750</v>
      </c>
      <c r="G15" s="32">
        <f t="shared" si="1"/>
        <v>41400</v>
      </c>
      <c r="H15" s="33">
        <f t="shared" si="0"/>
        <v>489350</v>
      </c>
      <c r="I15" s="34">
        <f>H15-VLOOKUP(C15,テーブル!$E$3:$G$6,3,0)*E15</f>
        <v>70926</v>
      </c>
    </row>
    <row r="16" spans="1:9">
      <c r="A16" s="2" t="s">
        <v>34</v>
      </c>
      <c r="B16" s="3" t="str">
        <f>VLOOKUP(A16,テーブル!$A$3:$C$8,2,0)</f>
        <v>ＯＲＩＭＥ</v>
      </c>
      <c r="C16" s="3">
        <v>201</v>
      </c>
      <c r="D16" s="14" t="str">
        <f>VLOOKUP(C16,テーブル!$E$3:$G$6,2,0)</f>
        <v>商品Ｃ</v>
      </c>
      <c r="E16" s="3">
        <v>96</v>
      </c>
      <c r="F16" s="31">
        <f>ROUNDDOWN(VLOOKUP(C16,テーブル!$E$3:$G$6,3,0)*(1+VLOOKUP(E16,テーブル!$I$4:$K$6,MOD(C16,10)+1,1)),-1)</f>
        <v>2400</v>
      </c>
      <c r="G16" s="32">
        <f t="shared" si="1"/>
        <v>14290</v>
      </c>
      <c r="H16" s="33">
        <f t="shared" si="0"/>
        <v>216110</v>
      </c>
      <c r="I16" s="34">
        <f>H16-VLOOKUP(C16,テーブル!$E$3:$G$6,3,0)*E16</f>
        <v>40046</v>
      </c>
    </row>
    <row r="17" spans="1:10">
      <c r="A17" s="2" t="s">
        <v>34</v>
      </c>
      <c r="B17" s="3" t="str">
        <f>VLOOKUP(A17,テーブル!$A$3:$C$8,2,0)</f>
        <v>ＯＲＩＭＥ</v>
      </c>
      <c r="C17" s="3">
        <v>202</v>
      </c>
      <c r="D17" s="14" t="str">
        <f>VLOOKUP(C17,テーブル!$E$3:$G$6,2,0)</f>
        <v>商品Ｄ</v>
      </c>
      <c r="E17" s="3">
        <v>233</v>
      </c>
      <c r="F17" s="31">
        <f>ROUNDDOWN(VLOOKUP(C17,テーブル!$E$3:$G$6,3,0)*(1+VLOOKUP(E17,テーブル!$I$4:$K$6,MOD(C17,10)+1,1)),-1)</f>
        <v>2780</v>
      </c>
      <c r="G17" s="32">
        <f t="shared" si="1"/>
        <v>50530</v>
      </c>
      <c r="H17" s="33">
        <f t="shared" si="0"/>
        <v>597210</v>
      </c>
      <c r="I17" s="34">
        <f>H17-VLOOKUP(C17,テーブル!$E$3:$G$6,3,0)*E17</f>
        <v>73659</v>
      </c>
    </row>
    <row r="18" spans="1:10">
      <c r="A18" s="2" t="s">
        <v>36</v>
      </c>
      <c r="B18" s="3" t="str">
        <f>VLOOKUP(A18,テーブル!$A$3:$C$8,2,0)</f>
        <v>近藤百貨</v>
      </c>
      <c r="C18" s="3">
        <v>101</v>
      </c>
      <c r="D18" s="14" t="str">
        <f>VLOOKUP(C18,テーブル!$E$3:$G$6,2,0)</f>
        <v>商品Ａ</v>
      </c>
      <c r="E18" s="3">
        <v>107</v>
      </c>
      <c r="F18" s="31">
        <f>ROUNDDOWN(VLOOKUP(C18,テーブル!$E$3:$G$6,3,0)*(1+VLOOKUP(E18,テーブル!$I$4:$K$6,MOD(C18,10)+1,1)),-1)</f>
        <v>2330</v>
      </c>
      <c r="G18" s="32">
        <f t="shared" si="1"/>
        <v>15460</v>
      </c>
      <c r="H18" s="33">
        <f t="shared" si="0"/>
        <v>233850</v>
      </c>
      <c r="I18" s="34">
        <f>H18-VLOOKUP(C18,テーブル!$E$3:$G$6,3,0)*E18</f>
        <v>42962</v>
      </c>
    </row>
    <row r="19" spans="1:10">
      <c r="A19" s="2" t="s">
        <v>36</v>
      </c>
      <c r="B19" s="3" t="str">
        <f>VLOOKUP(A19,テーブル!$A$3:$C$8,2,0)</f>
        <v>近藤百貨</v>
      </c>
      <c r="C19" s="3">
        <v>102</v>
      </c>
      <c r="D19" s="14" t="str">
        <f>VLOOKUP(C19,テーブル!$E$3:$G$6,2,0)</f>
        <v>商品Ｂ</v>
      </c>
      <c r="E19" s="3">
        <v>193</v>
      </c>
      <c r="F19" s="31">
        <f>ROUNDDOWN(VLOOKUP(C19,テーブル!$E$3:$G$6,3,0)*(1+VLOOKUP(E19,テーブル!$I$4:$K$6,MOD(C19,10)+1,1)),-1)</f>
        <v>2750</v>
      </c>
      <c r="G19" s="32">
        <f t="shared" si="1"/>
        <v>41400</v>
      </c>
      <c r="H19" s="33">
        <f t="shared" si="0"/>
        <v>489350</v>
      </c>
      <c r="I19" s="34">
        <f>H19-VLOOKUP(C19,テーブル!$E$3:$G$6,3,0)*E19</f>
        <v>70926</v>
      </c>
    </row>
    <row r="20" spans="1:10">
      <c r="A20" s="2" t="s">
        <v>36</v>
      </c>
      <c r="B20" s="3" t="str">
        <f>VLOOKUP(A20,テーブル!$A$3:$C$8,2,0)</f>
        <v>近藤百貨</v>
      </c>
      <c r="C20" s="3">
        <v>201</v>
      </c>
      <c r="D20" s="14" t="str">
        <f>VLOOKUP(C20,テーブル!$E$3:$G$6,2,0)</f>
        <v>商品Ｃ</v>
      </c>
      <c r="E20" s="3">
        <v>135</v>
      </c>
      <c r="F20" s="31">
        <f>ROUNDDOWN(VLOOKUP(C20,テーブル!$E$3:$G$6,3,0)*(1+VLOOKUP(E20,テーブル!$I$4:$K$6,MOD(C20,10)+1,1)),-1)</f>
        <v>2400</v>
      </c>
      <c r="G20" s="32">
        <f t="shared" si="1"/>
        <v>20090</v>
      </c>
      <c r="H20" s="33">
        <f t="shared" si="0"/>
        <v>303910</v>
      </c>
      <c r="I20" s="34">
        <f>H20-VLOOKUP(C20,テーブル!$E$3:$G$6,3,0)*E20</f>
        <v>56320</v>
      </c>
    </row>
    <row r="21" spans="1:10">
      <c r="A21" s="2" t="s">
        <v>36</v>
      </c>
      <c r="B21" s="3" t="str">
        <f>VLOOKUP(A21,テーブル!$A$3:$C$8,2,0)</f>
        <v>近藤百貨</v>
      </c>
      <c r="C21" s="3">
        <v>202</v>
      </c>
      <c r="D21" s="14" t="str">
        <f>VLOOKUP(C21,テーブル!$E$3:$G$6,2,0)</f>
        <v>商品Ｄ</v>
      </c>
      <c r="E21" s="3">
        <v>196</v>
      </c>
      <c r="F21" s="31">
        <f>ROUNDDOWN(VLOOKUP(C21,テーブル!$E$3:$G$6,3,0)*(1+VLOOKUP(E21,テーブル!$I$4:$K$6,MOD(C21,10)+1,1)),-1)</f>
        <v>2850</v>
      </c>
      <c r="G21" s="32">
        <f t="shared" si="1"/>
        <v>43580</v>
      </c>
      <c r="H21" s="33">
        <f t="shared" si="0"/>
        <v>515020</v>
      </c>
      <c r="I21" s="34">
        <f>H21-VLOOKUP(C21,テーブル!$E$3:$G$6,3,0)*E21</f>
        <v>74608</v>
      </c>
    </row>
    <row r="22" spans="1:10">
      <c r="A22" s="2" t="s">
        <v>38</v>
      </c>
      <c r="B22" s="3" t="str">
        <f>VLOOKUP(A22,テーブル!$A$3:$C$8,2,0)</f>
        <v>堂本用品</v>
      </c>
      <c r="C22" s="3">
        <v>101</v>
      </c>
      <c r="D22" s="14" t="str">
        <f>VLOOKUP(C22,テーブル!$E$3:$G$6,2,0)</f>
        <v>商品Ａ</v>
      </c>
      <c r="E22" s="3">
        <v>106</v>
      </c>
      <c r="F22" s="31">
        <f>ROUNDDOWN(VLOOKUP(C22,テーブル!$E$3:$G$6,3,0)*(1+VLOOKUP(E22,テーブル!$I$4:$K$6,MOD(C22,10)+1,1)),-1)</f>
        <v>2330</v>
      </c>
      <c r="G22" s="32">
        <f t="shared" si="1"/>
        <v>15320</v>
      </c>
      <c r="H22" s="33">
        <f t="shared" si="0"/>
        <v>231660</v>
      </c>
      <c r="I22" s="34">
        <f>H22-VLOOKUP(C22,テーブル!$E$3:$G$6,3,0)*E22</f>
        <v>42556</v>
      </c>
    </row>
    <row r="23" spans="1:10">
      <c r="A23" s="2" t="s">
        <v>38</v>
      </c>
      <c r="B23" s="3" t="str">
        <f>VLOOKUP(A23,テーブル!$A$3:$C$8,2,0)</f>
        <v>堂本用品</v>
      </c>
      <c r="C23" s="3">
        <v>102</v>
      </c>
      <c r="D23" s="14" t="str">
        <f>VLOOKUP(C23,テーブル!$E$3:$G$6,2,0)</f>
        <v>商品Ｂ</v>
      </c>
      <c r="E23" s="3">
        <v>173</v>
      </c>
      <c r="F23" s="31">
        <f>ROUNDDOWN(VLOOKUP(C23,テーブル!$E$3:$G$6,3,0)*(1+VLOOKUP(E23,テーブル!$I$4:$K$6,MOD(C23,10)+1,1)),-1)</f>
        <v>2750</v>
      </c>
      <c r="G23" s="32">
        <f t="shared" si="1"/>
        <v>37110</v>
      </c>
      <c r="H23" s="33">
        <f t="shared" si="0"/>
        <v>438640</v>
      </c>
      <c r="I23" s="34">
        <f>H23-VLOOKUP(C23,テーブル!$E$3:$G$6,3,0)*E23</f>
        <v>63576</v>
      </c>
    </row>
    <row r="24" spans="1:10">
      <c r="A24" s="2" t="s">
        <v>38</v>
      </c>
      <c r="B24" s="3" t="str">
        <f>VLOOKUP(A24,テーブル!$A$3:$C$8,2,0)</f>
        <v>堂本用品</v>
      </c>
      <c r="C24" s="3">
        <v>201</v>
      </c>
      <c r="D24" s="14" t="str">
        <f>VLOOKUP(C24,テーブル!$E$3:$G$6,2,0)</f>
        <v>商品Ｃ</v>
      </c>
      <c r="E24" s="3">
        <v>161</v>
      </c>
      <c r="F24" s="31">
        <f>ROUNDDOWN(VLOOKUP(C24,テーブル!$E$3:$G$6,3,0)*(1+VLOOKUP(E24,テーブル!$I$4:$K$6,MOD(C24,10)+1,1)),-1)</f>
        <v>2340</v>
      </c>
      <c r="G24" s="32">
        <f t="shared" si="1"/>
        <v>23360</v>
      </c>
      <c r="H24" s="33">
        <f t="shared" si="0"/>
        <v>353380</v>
      </c>
      <c r="I24" s="34">
        <f>H24-VLOOKUP(C24,テーブル!$E$3:$G$6,3,0)*E24</f>
        <v>58106</v>
      </c>
    </row>
    <row r="25" spans="1:10">
      <c r="A25" s="2" t="s">
        <v>38</v>
      </c>
      <c r="B25" s="3" t="str">
        <f>VLOOKUP(A25,テーブル!$A$3:$C$8,2,0)</f>
        <v>堂本用品</v>
      </c>
      <c r="C25" s="3">
        <v>202</v>
      </c>
      <c r="D25" s="14" t="str">
        <f>VLOOKUP(C25,テーブル!$E$3:$G$6,2,0)</f>
        <v>商品Ｄ</v>
      </c>
      <c r="E25" s="3">
        <v>168</v>
      </c>
      <c r="F25" s="31">
        <f>ROUNDDOWN(VLOOKUP(C25,テーブル!$E$3:$G$6,3,0)*(1+VLOOKUP(E25,テーブル!$I$4:$K$6,MOD(C25,10)+1,1)),-1)</f>
        <v>2850</v>
      </c>
      <c r="G25" s="32">
        <f t="shared" si="1"/>
        <v>37350</v>
      </c>
      <c r="H25" s="33">
        <f t="shared" si="0"/>
        <v>441450</v>
      </c>
      <c r="I25" s="34">
        <f>H25-VLOOKUP(C25,テーブル!$E$3:$G$6,3,0)*E25</f>
        <v>63954</v>
      </c>
    </row>
    <row r="26" spans="1:10">
      <c r="A26" s="2"/>
      <c r="B26" s="3"/>
      <c r="C26" s="3"/>
      <c r="D26" s="3"/>
      <c r="E26" s="3"/>
      <c r="F26" s="3"/>
      <c r="G26" s="3"/>
      <c r="H26" s="3"/>
      <c r="I26" s="6"/>
    </row>
    <row r="27" spans="1:10" ht="14.25" thickBot="1">
      <c r="A27" s="7"/>
      <c r="B27" s="42" t="s">
        <v>1</v>
      </c>
      <c r="C27" s="36"/>
      <c r="D27" s="35"/>
      <c r="E27" s="37">
        <f>SUM(E2:E25)</f>
        <v>3949</v>
      </c>
      <c r="F27" s="37"/>
      <c r="G27" s="37">
        <f>SUM(G2:G25)</f>
        <v>737130</v>
      </c>
      <c r="H27" s="37">
        <f>SUM(H2:H25)</f>
        <v>9515960</v>
      </c>
      <c r="I27" s="38">
        <f>SUM(I2:I25)</f>
        <v>1457341</v>
      </c>
      <c r="J27" s="59" t="s">
        <v>54</v>
      </c>
    </row>
    <row r="29" spans="1:10">
      <c r="E29" s="17"/>
      <c r="F29" s="17"/>
      <c r="H29" s="17"/>
      <c r="I29" s="17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38"/>
  <sheetViews>
    <sheetView workbookViewId="0">
      <selection sqref="A1:D1"/>
    </sheetView>
  </sheetViews>
  <sheetFormatPr defaultRowHeight="13.5"/>
  <cols>
    <col min="1" max="2" width="7.5" style="1" bestFit="1" customWidth="1"/>
    <col min="3" max="3" width="11.625" style="1" bestFit="1" customWidth="1"/>
    <col min="4" max="5" width="10.5" style="1" bestFit="1" customWidth="1"/>
    <col min="6" max="6" width="7.5" style="1" bestFit="1" customWidth="1"/>
    <col min="7" max="7" width="11.625" style="1" bestFit="1" customWidth="1"/>
    <col min="8" max="8" width="7.5" style="1" bestFit="1" customWidth="1"/>
    <col min="9" max="10" width="10.5" style="1" bestFit="1" customWidth="1"/>
    <col min="11" max="11" width="7.5" style="1" bestFit="1" customWidth="1"/>
    <col min="12" max="13" width="10.5" style="1" bestFit="1" customWidth="1"/>
    <col min="14" max="14" width="7.5" style="1" bestFit="1" customWidth="1"/>
    <col min="15" max="15" width="11.625" style="1" bestFit="1" customWidth="1"/>
    <col min="16" max="16" width="10.5" style="1" bestFit="1" customWidth="1"/>
    <col min="17" max="17" width="9.5" style="1" bestFit="1" customWidth="1"/>
    <col min="18" max="18" width="8.5" style="1" bestFit="1" customWidth="1"/>
    <col min="19" max="19" width="11.625" style="1" bestFit="1" customWidth="1"/>
    <col min="20" max="20" width="5.5" style="1" bestFit="1" customWidth="1"/>
    <col min="21" max="21" width="10.5" style="1" bestFit="1" customWidth="1"/>
    <col min="22" max="16384" width="9" style="1"/>
  </cols>
  <sheetData>
    <row r="1" spans="1:21" ht="14.25" thickBot="1">
      <c r="A1" s="64" t="s">
        <v>53</v>
      </c>
      <c r="B1" s="64"/>
      <c r="C1" s="64"/>
      <c r="D1" s="64"/>
      <c r="E1" s="15"/>
      <c r="F1" s="64" t="s">
        <v>23</v>
      </c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2" spans="1:21">
      <c r="A2" s="11" t="s">
        <v>4</v>
      </c>
      <c r="B2" s="29" t="s">
        <v>10</v>
      </c>
      <c r="C2" s="29" t="s">
        <v>11</v>
      </c>
      <c r="D2" s="20" t="s">
        <v>16</v>
      </c>
      <c r="E2" s="12"/>
      <c r="F2" s="50"/>
      <c r="G2" s="52"/>
      <c r="H2" s="65" t="s">
        <v>20</v>
      </c>
      <c r="I2" s="65"/>
      <c r="J2" s="65"/>
      <c r="K2" s="65" t="s">
        <v>21</v>
      </c>
      <c r="L2" s="65"/>
      <c r="M2" s="65"/>
      <c r="N2" s="65" t="s">
        <v>22</v>
      </c>
      <c r="O2" s="65"/>
      <c r="P2" s="65"/>
      <c r="Q2" s="53"/>
      <c r="R2" s="53"/>
      <c r="S2" s="54"/>
      <c r="T2" s="55"/>
    </row>
    <row r="3" spans="1:21">
      <c r="A3" s="2" t="s">
        <v>24</v>
      </c>
      <c r="B3" s="5">
        <f>DSUM(前期!$A$1:$I$25,B$2,$A$10:$A$11)+DSUM(後期!$A$1:$I$25,B$2,$A$10:$A$11)</f>
        <v>1732</v>
      </c>
      <c r="C3" s="5">
        <f>DSUM(前期!$A$1:$I$25,C$2,$A$10:$A$11)+DSUM(後期!$A$1:$I$25,C$2,$A$10:$A$11)</f>
        <v>3724220</v>
      </c>
      <c r="D3" s="4">
        <f>DSUM(前期!$A$1:$I$25,D$2,$A$10:$A$11)+DSUM(後期!$A$1:$I$25,D$2,$A$10:$A$11)</f>
        <v>634332</v>
      </c>
      <c r="F3" s="51" t="s">
        <v>8</v>
      </c>
      <c r="G3" s="49" t="s">
        <v>9</v>
      </c>
      <c r="H3" s="13" t="s">
        <v>51</v>
      </c>
      <c r="I3" s="13" t="s">
        <v>11</v>
      </c>
      <c r="J3" s="28" t="s">
        <v>16</v>
      </c>
      <c r="K3" s="13" t="s">
        <v>51</v>
      </c>
      <c r="L3" s="13" t="s">
        <v>11</v>
      </c>
      <c r="M3" s="28" t="s">
        <v>16</v>
      </c>
      <c r="N3" s="13" t="s">
        <v>51</v>
      </c>
      <c r="O3" s="13" t="s">
        <v>11</v>
      </c>
      <c r="P3" s="28" t="s">
        <v>16</v>
      </c>
      <c r="Q3" s="56" t="s">
        <v>52</v>
      </c>
      <c r="R3" s="56" t="s">
        <v>19</v>
      </c>
      <c r="S3" s="57" t="s">
        <v>17</v>
      </c>
      <c r="T3" s="58" t="s">
        <v>14</v>
      </c>
    </row>
    <row r="4" spans="1:21">
      <c r="A4" s="18" t="s">
        <v>26</v>
      </c>
      <c r="B4" s="5">
        <f>DSUM(前期!$A$1:$I$25,B$2,$C$10:$C$11)+DSUM(後期!$A$1:$I$25,B$2,$C$10:$C$11)</f>
        <v>2089</v>
      </c>
      <c r="C4" s="5">
        <f>DSUM(前期!$A$1:$I$25,C$2,$C$10:$C$11)+DSUM(後期!$A$1:$I$25,C$2,$C$10:$C$11)</f>
        <v>4569340</v>
      </c>
      <c r="D4" s="4">
        <f>DSUM(前期!$A$1:$I$25,D$2,$C$10:$C$11)+DSUM(後期!$A$1:$I$25,D$2,$C$10:$C$11)</f>
        <v>738114</v>
      </c>
      <c r="F4" s="45" t="s">
        <v>33</v>
      </c>
      <c r="G4" s="3" t="str">
        <f>VLOOKUP(F4,テーブル!$A$3:$C$8,2,0)</f>
        <v>ショップ東</v>
      </c>
      <c r="H4" s="5">
        <f ca="1">DSUM(INDIRECT($H$2&amp;"!$A$1:$I$25"),H$3,$F$13:$F$14)</f>
        <v>646</v>
      </c>
      <c r="I4" s="5">
        <f ca="1">DSUM(INDIRECT($H$2&amp;"!$A$1:$I$25"),I$3,$F$13:$F$14)</f>
        <v>1524700</v>
      </c>
      <c r="J4" s="5">
        <f t="shared" ref="J4" ca="1" si="0">DSUM(INDIRECT($H$2&amp;"!$A$1:$I$25"),J$3,$F$13:$F$14)</f>
        <v>240823</v>
      </c>
      <c r="K4" s="5">
        <f ca="1">DSUM(INDIRECT($K$2&amp;"!$A$1:$I$25"),K$3,$F$13:$F$14)</f>
        <v>648</v>
      </c>
      <c r="L4" s="5">
        <f t="shared" ref="L4:M4" ca="1" si="1">DSUM(INDIRECT($K$2&amp;"!$A$1:$I$25"),L$3,$F$13:$F$14)</f>
        <v>1550780</v>
      </c>
      <c r="M4" s="5">
        <f t="shared" ca="1" si="1"/>
        <v>239211</v>
      </c>
      <c r="N4" s="5">
        <f t="shared" ref="N4:P9" ca="1" si="2">H4+K4</f>
        <v>1294</v>
      </c>
      <c r="O4" s="5">
        <f t="shared" ca="1" si="2"/>
        <v>3075480</v>
      </c>
      <c r="P4" s="33">
        <f t="shared" ca="1" si="2"/>
        <v>480034</v>
      </c>
      <c r="Q4" s="33">
        <f ca="1">ROUNDUP(P4/VLOOKUP(F4,テーブル!$A$3:$C$8,3,0)*100,0)</f>
        <v>105</v>
      </c>
      <c r="R4" s="5">
        <f ca="1">ROUND(O4*VLOOKUP(RIGHT(F4,1),テーブル!$M$3:$N$5,2,0),-2)</f>
        <v>89200</v>
      </c>
      <c r="S4" s="5">
        <f t="shared" ref="S4:S9" ca="1" si="3">O4-R4</f>
        <v>2986280</v>
      </c>
      <c r="T4" s="48" t="str">
        <f ca="1">IF(AND(Q4&gt;=100,P4&gt;=AVERAGE($P$4:$P$9)),"Ａ","Ｂ")</f>
        <v>Ｂ</v>
      </c>
    </row>
    <row r="5" spans="1:21">
      <c r="A5" s="18" t="s">
        <v>25</v>
      </c>
      <c r="B5" s="5">
        <f>DSUM(前期!$A$1:$I$25,B$2,$B$10:$B$11)+DSUM(後期!$A$1:$I$25,B$2,$B$10:$B$11)</f>
        <v>2025</v>
      </c>
      <c r="C5" s="5">
        <f>DSUM(前期!$A$1:$I$25,C$2,$B$10:$B$11)+DSUM(後期!$A$1:$I$25,C$2,$B$10:$B$11)</f>
        <v>5155550</v>
      </c>
      <c r="D5" s="4">
        <f>DSUM(前期!$A$1:$I$25,D$2,$B$10:$B$11)+DSUM(後期!$A$1:$I$25,D$2,$B$10:$B$11)</f>
        <v>765350</v>
      </c>
      <c r="F5" s="45" t="s">
        <v>49</v>
      </c>
      <c r="G5" s="3" t="str">
        <f>VLOOKUP(F5,テーブル!$A$3:$C$8,2,0)</f>
        <v>長田堂</v>
      </c>
      <c r="H5" s="5">
        <f ca="1">DSUM(INDIRECT($H$2&amp;"!$A$1:$I$25"),H$3,$G$13:$G$14)</f>
        <v>685</v>
      </c>
      <c r="I5" s="5">
        <f ca="1">DSUM(INDIRECT($H$2&amp;"!$A$1:$I$25"),I$3,$G$13:$G$14)</f>
        <v>1613070</v>
      </c>
      <c r="J5" s="5">
        <f t="shared" ref="J5" ca="1" si="4">DSUM(INDIRECT($H$2&amp;"!$A$1:$I$25"),J$3,$G$13:$G$14)</f>
        <v>255934</v>
      </c>
      <c r="K5" s="5">
        <f ca="1">DSUM(INDIRECT($K$2&amp;"!$A$1:$I$25"),K$3,$G$13:$G$14)</f>
        <v>688</v>
      </c>
      <c r="L5" s="5">
        <f t="shared" ref="L5:M5" ca="1" si="5">DSUM(INDIRECT($K$2&amp;"!$A$1:$I$25"),L$3,$G$13:$G$14)</f>
        <v>1648130</v>
      </c>
      <c r="M5" s="5">
        <f t="shared" ca="1" si="5"/>
        <v>258501</v>
      </c>
      <c r="N5" s="5">
        <f t="shared" ca="1" si="2"/>
        <v>1373</v>
      </c>
      <c r="O5" s="5">
        <f t="shared" ca="1" si="2"/>
        <v>3261200</v>
      </c>
      <c r="P5" s="33">
        <f t="shared" ca="1" si="2"/>
        <v>514435</v>
      </c>
      <c r="Q5" s="33">
        <f ca="1">ROUNDUP(P5/VLOOKUP(F5,テーブル!$A$3:$C$8,3,0)*100,0)</f>
        <v>100</v>
      </c>
      <c r="R5" s="5">
        <f ca="1">ROUND(O5*VLOOKUP(RIGHT(F5,1),テーブル!$M$3:$N$5,2,0),-2)</f>
        <v>117400</v>
      </c>
      <c r="S5" s="5">
        <f t="shared" ca="1" si="3"/>
        <v>3143800</v>
      </c>
      <c r="T5" s="48" t="str">
        <f t="shared" ref="T5:T9" ca="1" si="6">IF(AND(Q5&gt;=100,P5&gt;=AVERAGE($P$4:$P$9)),"Ａ","Ｂ")</f>
        <v>Ａ</v>
      </c>
    </row>
    <row r="6" spans="1:21">
      <c r="A6" s="18" t="s">
        <v>6</v>
      </c>
      <c r="B6" s="5">
        <f>DSUM(前期!$A$1:$I$25,B$2,$D$10:$D$11)+DSUM(後期!$A$1:$I$25,B$2,$D$10:$D$11)</f>
        <v>2155</v>
      </c>
      <c r="C6" s="5">
        <f>DSUM(前期!$A$1:$I$25,C$2,$D$10:$D$11)+DSUM(後期!$A$1:$I$25,C$2,$D$10:$D$11)</f>
        <v>5627260</v>
      </c>
      <c r="D6" s="4">
        <f>DSUM(前期!$A$1:$I$25,D$2,$D$10:$D$11)+DSUM(後期!$A$1:$I$25,D$2,$D$10:$D$11)</f>
        <v>784975</v>
      </c>
      <c r="F6" s="45" t="s">
        <v>50</v>
      </c>
      <c r="G6" s="3" t="str">
        <f>VLOOKUP(F6,テーブル!$A$3:$C$8,2,0)</f>
        <v>上川商事</v>
      </c>
      <c r="H6" s="5">
        <f ca="1">DSUM(INDIRECT($H$2&amp;"!$A$1:$I$25"),H$3,$H$13:$H$14)</f>
        <v>654</v>
      </c>
      <c r="I6" s="5">
        <f ca="1">DSUM(INDIRECT($H$2&amp;"!$A$1:$I$25"),I$3,$H$13:$H$14)</f>
        <v>1558860</v>
      </c>
      <c r="J6" s="5">
        <f t="shared" ref="J6" ca="1" si="7">DSUM(INDIRECT($H$2&amp;"!$A$1:$I$25"),J$3,$H$13:$H$14)</f>
        <v>246375</v>
      </c>
      <c r="K6" s="5">
        <f ca="1">DSUM(INDIRECT($K$2&amp;"!$A$1:$I$25"),K$3,$H$13:$H$14)</f>
        <v>701</v>
      </c>
      <c r="L6" s="5">
        <f t="shared" ref="L6:M6" ca="1" si="8">DSUM(INDIRECT($K$2&amp;"!$A$1:$I$25"),L$3,$H$13:$H$14)</f>
        <v>1684190</v>
      </c>
      <c r="M6" s="5">
        <f t="shared" ca="1" si="8"/>
        <v>248444</v>
      </c>
      <c r="N6" s="5">
        <f t="shared" ca="1" si="2"/>
        <v>1355</v>
      </c>
      <c r="O6" s="5">
        <f t="shared" ca="1" si="2"/>
        <v>3243050</v>
      </c>
      <c r="P6" s="33">
        <f t="shared" ca="1" si="2"/>
        <v>494819</v>
      </c>
      <c r="Q6" s="33">
        <f ca="1">ROUNDUP(P6/VLOOKUP(F6,テーブル!$A$3:$C$8,3,0)*100,0)</f>
        <v>92</v>
      </c>
      <c r="R6" s="5">
        <f ca="1">ROUND(O6*VLOOKUP(RIGHT(F6,1),テーブル!$M$3:$N$5,2,0),-2)</f>
        <v>103800</v>
      </c>
      <c r="S6" s="5">
        <f t="shared" ca="1" si="3"/>
        <v>3139250</v>
      </c>
      <c r="T6" s="48" t="str">
        <f t="shared" ca="1" si="6"/>
        <v>Ｂ</v>
      </c>
    </row>
    <row r="7" spans="1:21">
      <c r="A7" s="2"/>
      <c r="B7" s="3"/>
      <c r="C7" s="3"/>
      <c r="D7" s="6"/>
      <c r="F7" s="45" t="s">
        <v>35</v>
      </c>
      <c r="G7" s="3" t="str">
        <f>VLOOKUP(F7,テーブル!$A$3:$C$8,2,0)</f>
        <v>ＯＲＩＭＥ</v>
      </c>
      <c r="H7" s="5">
        <f ca="1">DSUM(INDIRECT($H$2&amp;"!$A$1:$I$25"),H$3,$I$13:$I$14)</f>
        <v>778</v>
      </c>
      <c r="I7" s="5">
        <f ca="1">DSUM(INDIRECT($H$2&amp;"!$A$1:$I$25"),I$3,$I$13:$I$14)</f>
        <v>1824450</v>
      </c>
      <c r="J7" s="5">
        <f t="shared" ref="J7" ca="1" si="9">DSUM(INDIRECT($H$2&amp;"!$A$1:$I$25"),J$3,$I$13:$I$14)</f>
        <v>273449</v>
      </c>
      <c r="K7" s="5">
        <f ca="1">DSUM(INDIRECT($K$2&amp;"!$A$1:$I$25"),K$3,$I$13:$I$14)</f>
        <v>673</v>
      </c>
      <c r="L7" s="5">
        <f t="shared" ref="L7:M7" ca="1" si="10">DSUM(INDIRECT($K$2&amp;"!$A$1:$I$25"),L$3,$I$13:$I$14)</f>
        <v>1625600</v>
      </c>
      <c r="M7" s="5">
        <f t="shared" ca="1" si="10"/>
        <v>238177</v>
      </c>
      <c r="N7" s="5">
        <f t="shared" ca="1" si="2"/>
        <v>1451</v>
      </c>
      <c r="O7" s="5">
        <f t="shared" ca="1" si="2"/>
        <v>3450050</v>
      </c>
      <c r="P7" s="33">
        <f t="shared" ca="1" si="2"/>
        <v>511626</v>
      </c>
      <c r="Q7" s="33">
        <f ca="1">ROUNDUP(P7/VLOOKUP(F7,テーブル!$A$3:$C$8,3,0)*100,0)</f>
        <v>103</v>
      </c>
      <c r="R7" s="5">
        <f ca="1">ROUND(O7*VLOOKUP(RIGHT(F7,1),テーブル!$M$3:$N$5,2,0),-2)</f>
        <v>110400</v>
      </c>
      <c r="S7" s="5">
        <f t="shared" ca="1" si="3"/>
        <v>3339650</v>
      </c>
      <c r="T7" s="48" t="str">
        <f t="shared" ca="1" si="6"/>
        <v>Ａ</v>
      </c>
    </row>
    <row r="8" spans="1:21" ht="14.25" thickBot="1">
      <c r="A8" s="24" t="s">
        <v>0</v>
      </c>
      <c r="B8" s="9">
        <f>SUM(B3:B6)</f>
        <v>8001</v>
      </c>
      <c r="C8" s="9">
        <f>SUM(C3:C6)</f>
        <v>19076370</v>
      </c>
      <c r="D8" s="25">
        <f>SUM(D3:D6)</f>
        <v>2922771</v>
      </c>
      <c r="E8" s="59" t="s">
        <v>54</v>
      </c>
      <c r="F8" s="45" t="s">
        <v>37</v>
      </c>
      <c r="G8" s="3" t="str">
        <f>VLOOKUP(F8,テーブル!$A$3:$C$8,2,0)</f>
        <v>近藤百貨</v>
      </c>
      <c r="H8" s="5">
        <f ca="1">DSUM(INDIRECT($H$2&amp;"!$A$1:$I$25"),H$3,$J$13:$J$14)</f>
        <v>659</v>
      </c>
      <c r="I8" s="5">
        <f ca="1">DSUM(INDIRECT($H$2&amp;"!$A$1:$I$25"),I$3,$J$13:$J$14)</f>
        <v>1546050</v>
      </c>
      <c r="J8" s="5">
        <f t="shared" ref="J8" ca="1" si="11">DSUM(INDIRECT($H$2&amp;"!$A$1:$I$25"),J$3,$J$13:$J$14)</f>
        <v>221360</v>
      </c>
      <c r="K8" s="5">
        <f ca="1">DSUM(INDIRECT($K$2&amp;"!$A$1:$I$25"),K$3,$J$13:$J$14)</f>
        <v>631</v>
      </c>
      <c r="L8" s="5">
        <f t="shared" ref="L8:M8" ca="1" si="12">DSUM(INDIRECT($K$2&amp;"!$A$1:$I$25"),L$3,$J$13:$J$14)</f>
        <v>1542130</v>
      </c>
      <c r="M8" s="5">
        <f t="shared" ca="1" si="12"/>
        <v>244816</v>
      </c>
      <c r="N8" s="5">
        <f t="shared" ca="1" si="2"/>
        <v>1290</v>
      </c>
      <c r="O8" s="5">
        <f t="shared" ca="1" si="2"/>
        <v>3088180</v>
      </c>
      <c r="P8" s="33">
        <f t="shared" ca="1" si="2"/>
        <v>466176</v>
      </c>
      <c r="Q8" s="33">
        <f ca="1">ROUNDUP(P8/VLOOKUP(F8,テーブル!$A$3:$C$8,3,0)*100,0)</f>
        <v>95</v>
      </c>
      <c r="R8" s="5">
        <f ca="1">ROUND(O8*VLOOKUP(RIGHT(F8,1),テーブル!$M$3:$N$5,2,0),-2)</f>
        <v>89600</v>
      </c>
      <c r="S8" s="5">
        <f t="shared" ca="1" si="3"/>
        <v>2998580</v>
      </c>
      <c r="T8" s="48" t="str">
        <f t="shared" ca="1" si="6"/>
        <v>Ｂ</v>
      </c>
    </row>
    <row r="9" spans="1:21" ht="14.25" thickBot="1">
      <c r="F9" s="45" t="s">
        <v>39</v>
      </c>
      <c r="G9" s="3" t="str">
        <f>VLOOKUP(F9,テーブル!$A$3:$C$8,2,0)</f>
        <v>堂本用品</v>
      </c>
      <c r="H9" s="5">
        <f ca="1">DSUM(INDIRECT($H$2&amp;"!$A$1:$I$25"),H$3,$K$13:$K$14)</f>
        <v>630</v>
      </c>
      <c r="I9" s="5">
        <f ca="1">DSUM(INDIRECT($H$2&amp;"!$A$1:$I$25"),I$3,$K$13:$K$14)</f>
        <v>1493280</v>
      </c>
      <c r="J9" s="5">
        <f t="shared" ref="J9" ca="1" si="13">DSUM(INDIRECT($H$2&amp;"!$A$1:$I$25"),J$3,$K$13:$K$14)</f>
        <v>227489</v>
      </c>
      <c r="K9" s="5">
        <f ca="1">DSUM(INDIRECT($K$2&amp;"!$A$1:$I$25"),K$3,$K$13:$K$14)</f>
        <v>608</v>
      </c>
      <c r="L9" s="5">
        <f t="shared" ref="L9:M9" ca="1" si="14">DSUM(INDIRECT($K$2&amp;"!$A$1:$I$25"),L$3,$K$13:$K$14)</f>
        <v>1465130</v>
      </c>
      <c r="M9" s="5">
        <f t="shared" ca="1" si="14"/>
        <v>228192</v>
      </c>
      <c r="N9" s="5">
        <f t="shared" ca="1" si="2"/>
        <v>1238</v>
      </c>
      <c r="O9" s="5">
        <f t="shared" ca="1" si="2"/>
        <v>2958410</v>
      </c>
      <c r="P9" s="33">
        <f t="shared" ca="1" si="2"/>
        <v>455681</v>
      </c>
      <c r="Q9" s="33">
        <f ca="1">ROUNDUP(P9/VLOOKUP(F9,テーブル!$A$3:$C$8,3,0)*100,0)</f>
        <v>101</v>
      </c>
      <c r="R9" s="5">
        <f ca="1">ROUND(O9*VLOOKUP(RIGHT(F9,1),テーブル!$M$3:$N$5,2,0),-2)</f>
        <v>106500</v>
      </c>
      <c r="S9" s="5">
        <f t="shared" ca="1" si="3"/>
        <v>2851910</v>
      </c>
      <c r="T9" s="48" t="str">
        <f t="shared" ca="1" si="6"/>
        <v>Ｂ</v>
      </c>
    </row>
    <row r="10" spans="1:21">
      <c r="A10" s="16" t="s">
        <v>4</v>
      </c>
      <c r="B10" s="16" t="s">
        <v>4</v>
      </c>
      <c r="C10" s="16" t="s">
        <v>4</v>
      </c>
      <c r="D10" s="16" t="s">
        <v>4</v>
      </c>
      <c r="F10" s="2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6"/>
    </row>
    <row r="11" spans="1:21" ht="14.25" thickBot="1">
      <c r="A11" s="10" t="s">
        <v>24</v>
      </c>
      <c r="B11" s="19" t="s">
        <v>25</v>
      </c>
      <c r="C11" s="19" t="s">
        <v>26</v>
      </c>
      <c r="D11" s="26" t="s">
        <v>6</v>
      </c>
      <c r="F11" s="7"/>
      <c r="G11" s="8" t="s">
        <v>0</v>
      </c>
      <c r="H11" s="9">
        <f t="shared" ref="H11:O11" ca="1" si="15">SUM(H4:H9)</f>
        <v>4052</v>
      </c>
      <c r="I11" s="9">
        <f t="shared" ca="1" si="15"/>
        <v>9560410</v>
      </c>
      <c r="J11" s="9">
        <f t="shared" ca="1" si="15"/>
        <v>1465430</v>
      </c>
      <c r="K11" s="9">
        <f t="shared" ca="1" si="15"/>
        <v>3949</v>
      </c>
      <c r="L11" s="9">
        <f t="shared" ca="1" si="15"/>
        <v>9515960</v>
      </c>
      <c r="M11" s="9">
        <f t="shared" ca="1" si="15"/>
        <v>1457341</v>
      </c>
      <c r="N11" s="9">
        <f t="shared" ca="1" si="15"/>
        <v>8001</v>
      </c>
      <c r="O11" s="9">
        <f t="shared" ca="1" si="15"/>
        <v>19076370</v>
      </c>
      <c r="P11" s="9">
        <f ca="1">SUM(P4:P9)</f>
        <v>2922771</v>
      </c>
      <c r="Q11" s="9"/>
      <c r="R11" s="9">
        <f ca="1">SUM(R4:R9)</f>
        <v>616900</v>
      </c>
      <c r="S11" s="9">
        <f ca="1">SUM(S4:S9)</f>
        <v>18459470</v>
      </c>
      <c r="T11" s="25"/>
      <c r="U11" s="59" t="s">
        <v>54</v>
      </c>
    </row>
    <row r="12" spans="1:21" ht="14.25" thickBot="1">
      <c r="H12" s="17"/>
      <c r="I12" s="17"/>
      <c r="J12" s="17"/>
      <c r="K12" s="17"/>
      <c r="L12" s="17"/>
    </row>
    <row r="13" spans="1:21">
      <c r="F13" s="16" t="s">
        <v>8</v>
      </c>
      <c r="G13" s="46" t="s">
        <v>8</v>
      </c>
      <c r="H13" s="46" t="s">
        <v>8</v>
      </c>
      <c r="I13" s="46" t="s">
        <v>8</v>
      </c>
      <c r="J13" s="46" t="s">
        <v>8</v>
      </c>
      <c r="K13" s="46" t="s">
        <v>8</v>
      </c>
      <c r="M13" s="17"/>
    </row>
    <row r="14" spans="1:21" ht="14.25" thickBot="1">
      <c r="F14" s="26" t="s">
        <v>33</v>
      </c>
      <c r="G14" s="47" t="s">
        <v>49</v>
      </c>
      <c r="H14" s="47" t="s">
        <v>50</v>
      </c>
      <c r="I14" s="47" t="s">
        <v>35</v>
      </c>
      <c r="J14" s="47" t="s">
        <v>37</v>
      </c>
      <c r="K14" s="47" t="s">
        <v>39</v>
      </c>
      <c r="L14" s="21"/>
    </row>
    <row r="15" spans="1:21">
      <c r="F15"/>
      <c r="G15"/>
      <c r="H15"/>
      <c r="I15"/>
      <c r="J15"/>
      <c r="K15"/>
      <c r="L15"/>
    </row>
    <row r="16" spans="1:21">
      <c r="F16"/>
      <c r="G16"/>
      <c r="H16"/>
      <c r="I16"/>
      <c r="J16"/>
      <c r="K16"/>
      <c r="L16"/>
    </row>
    <row r="17" spans="6:12">
      <c r="F17"/>
      <c r="G17"/>
      <c r="H17"/>
      <c r="I17"/>
      <c r="J17"/>
      <c r="K17"/>
      <c r="L17"/>
    </row>
    <row r="38" spans="19:19">
      <c r="S38" s="59" t="s">
        <v>55</v>
      </c>
    </row>
  </sheetData>
  <sortState xmlns:xlrd2="http://schemas.microsoft.com/office/spreadsheetml/2017/richdata2" ref="A3:D6">
    <sortCondition ref="D5:D6"/>
  </sortState>
  <mergeCells count="5">
    <mergeCell ref="A1:D1"/>
    <mergeCell ref="F1:T1"/>
    <mergeCell ref="H2:J2"/>
    <mergeCell ref="K2:M2"/>
    <mergeCell ref="N2:P2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前期</vt:lpstr>
      <vt:lpstr>後期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2016-01-05T05:50:06Z</cp:lastPrinted>
  <dcterms:created xsi:type="dcterms:W3CDTF">2012-06-19T05:36:06Z</dcterms:created>
  <dcterms:modified xsi:type="dcterms:W3CDTF">2025-05-27T08:19:17Z</dcterms:modified>
</cp:coreProperties>
</file>