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移行用フォルダー\検定問題\1表計算\01_7月検定\SPS_202507\"/>
    </mc:Choice>
  </mc:AlternateContent>
  <xr:revisionPtr revIDLastSave="0" documentId="13_ncr:1_{405A7B5E-9514-4986-AFB6-8A6B567DD57F}" xr6:coauthVersionLast="47" xr6:coauthVersionMax="47" xr10:uidLastSave="{00000000-0000-0000-0000-000000000000}"/>
  <bookViews>
    <workbookView xWindow="-120" yWindow="-120" windowWidth="29040" windowHeight="15720" xr2:uid="{EFC64FC8-A7F4-4B8D-88AD-E02EC968911A}"/>
  </bookViews>
  <sheets>
    <sheet name="テーブル" sheetId="1" r:id="rId1"/>
    <sheet name="データ表" sheetId="2" r:id="rId2"/>
    <sheet name="計算表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4" l="1"/>
  <c r="G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K7" i="4" l="1"/>
  <c r="J7" i="4"/>
  <c r="I7" i="4"/>
  <c r="K6" i="4"/>
  <c r="L6" i="4" s="1"/>
  <c r="J6" i="4"/>
  <c r="I6" i="4"/>
  <c r="K5" i="4"/>
  <c r="L5" i="4" s="1"/>
  <c r="J5" i="4"/>
  <c r="I5" i="4"/>
  <c r="K4" i="4"/>
  <c r="L4" i="4" s="1"/>
  <c r="J4" i="4"/>
  <c r="I4" i="4"/>
  <c r="K3" i="4"/>
  <c r="L3" i="4" s="1"/>
  <c r="J3" i="4"/>
  <c r="I3" i="4"/>
  <c r="F28" i="2"/>
  <c r="E28" i="2"/>
  <c r="H26" i="2"/>
  <c r="I26" i="2" s="1"/>
  <c r="D26" i="2"/>
  <c r="H25" i="2"/>
  <c r="I25" i="2" s="1"/>
  <c r="D25" i="2"/>
  <c r="H24" i="2"/>
  <c r="I24" i="2" s="1"/>
  <c r="D24" i="2"/>
  <c r="H23" i="2"/>
  <c r="I23" i="2" s="1"/>
  <c r="D23" i="2"/>
  <c r="H22" i="2"/>
  <c r="I22" i="2" s="1"/>
  <c r="D22" i="2"/>
  <c r="H21" i="2"/>
  <c r="I21" i="2" s="1"/>
  <c r="D21" i="2"/>
  <c r="H20" i="2"/>
  <c r="I20" i="2" s="1"/>
  <c r="D20" i="2"/>
  <c r="H19" i="2"/>
  <c r="I19" i="2" s="1"/>
  <c r="D19" i="2"/>
  <c r="H18" i="2"/>
  <c r="D18" i="2"/>
  <c r="H17" i="2"/>
  <c r="I17" i="2" s="1"/>
  <c r="D17" i="2"/>
  <c r="H16" i="2"/>
  <c r="I16" i="2" s="1"/>
  <c r="D16" i="2"/>
  <c r="H15" i="2"/>
  <c r="I15" i="2" s="1"/>
  <c r="D15" i="2"/>
  <c r="H14" i="2"/>
  <c r="I14" i="2" s="1"/>
  <c r="D14" i="2"/>
  <c r="H13" i="2"/>
  <c r="I13" i="2" s="1"/>
  <c r="D13" i="2"/>
  <c r="H12" i="2"/>
  <c r="I12" i="2" s="1"/>
  <c r="D12" i="2"/>
  <c r="H11" i="2"/>
  <c r="I11" i="2" s="1"/>
  <c r="D11" i="2"/>
  <c r="H10" i="2"/>
  <c r="I10" i="2" s="1"/>
  <c r="D10" i="2"/>
  <c r="H9" i="2"/>
  <c r="D9" i="2"/>
  <c r="H8" i="2"/>
  <c r="I8" i="2" s="1"/>
  <c r="D8" i="2"/>
  <c r="H7" i="2"/>
  <c r="I7" i="2" s="1"/>
  <c r="D7" i="2"/>
  <c r="H6" i="2"/>
  <c r="D6" i="2"/>
  <c r="H5" i="2"/>
  <c r="D5" i="2"/>
  <c r="H4" i="2"/>
  <c r="I4" i="2" s="1"/>
  <c r="D4" i="2"/>
  <c r="H3" i="2"/>
  <c r="I3" i="2" s="1"/>
  <c r="D3" i="2"/>
  <c r="J2" i="2"/>
  <c r="H2" i="2"/>
  <c r="D2" i="2"/>
  <c r="B6" i="4" l="1"/>
  <c r="E6" i="4" s="1"/>
  <c r="B4" i="4"/>
  <c r="E4" i="4" s="1"/>
  <c r="S9" i="4"/>
  <c r="S3" i="4" s="1"/>
  <c r="D5" i="4"/>
  <c r="B7" i="4"/>
  <c r="E7" i="4" s="1"/>
  <c r="B3" i="4"/>
  <c r="E3" i="4" s="1"/>
  <c r="I9" i="2"/>
  <c r="N3" i="4" s="1"/>
  <c r="O3" i="4" s="1"/>
  <c r="P3" i="4" s="1"/>
  <c r="M3" i="4"/>
  <c r="M7" i="4"/>
  <c r="I6" i="2"/>
  <c r="N7" i="4" s="1"/>
  <c r="M4" i="4"/>
  <c r="I5" i="2"/>
  <c r="N4" i="4" s="1"/>
  <c r="O4" i="4" s="1"/>
  <c r="P4" i="4" s="1"/>
  <c r="M5" i="4"/>
  <c r="I18" i="2"/>
  <c r="N5" i="4" s="1"/>
  <c r="O5" i="4" s="1"/>
  <c r="J9" i="4"/>
  <c r="C6" i="4"/>
  <c r="D6" i="4"/>
  <c r="C7" i="4"/>
  <c r="D7" i="4"/>
  <c r="C4" i="4"/>
  <c r="B5" i="4"/>
  <c r="E5" i="4" s="1"/>
  <c r="C5" i="4"/>
  <c r="K9" i="4"/>
  <c r="H28" i="2"/>
  <c r="I2" i="2"/>
  <c r="C3" i="4"/>
  <c r="M6" i="4"/>
  <c r="L7" i="4"/>
  <c r="D4" i="4" l="1"/>
  <c r="M9" i="4"/>
  <c r="P5" i="4"/>
  <c r="O7" i="4"/>
  <c r="P7" i="4" s="1"/>
  <c r="D3" i="4"/>
  <c r="N6" i="4"/>
  <c r="I28" i="2"/>
  <c r="O6" i="4" l="1"/>
  <c r="O9" i="4" s="1"/>
  <c r="N9" i="4"/>
  <c r="F5" i="4"/>
  <c r="F3" i="4"/>
  <c r="F4" i="4"/>
  <c r="F7" i="4"/>
  <c r="F6" i="4"/>
  <c r="P6" i="4" l="1"/>
  <c r="P9" i="4" s="1"/>
</calcChain>
</file>

<file path=xl/sharedStrings.xml><?xml version="1.0" encoding="utf-8"?>
<sst xmlns="http://schemas.openxmlformats.org/spreadsheetml/2006/main" count="86" uniqueCount="54">
  <si>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</si>
  <si>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</si>
  <si>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</si>
  <si>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</si>
  <si>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</si>
  <si>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</si>
  <si>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商品名</t>
    <rPh sb="0" eb="2">
      <t>ショウヒン</t>
    </rPh>
    <rPh sb="2" eb="3">
      <t>メイ</t>
    </rPh>
    <phoneticPr fontId="2"/>
  </si>
  <si>
    <t>＜委託先テーブル＞</t>
    <rPh sb="1" eb="3">
      <t>イタク</t>
    </rPh>
    <phoneticPr fontId="2"/>
  </si>
  <si>
    <t>合　計</t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</si>
  <si>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</si>
  <si>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</si>
  <si>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商品別総括表</t>
    <rPh sb="0" eb="2">
      <t>ショウヒン</t>
    </rPh>
    <rPh sb="2" eb="3">
      <t>ベツ</t>
    </rPh>
    <rPh sb="3" eb="6">
      <t>ソウカツヒョウ</t>
    </rPh>
    <phoneticPr fontId="2"/>
  </si>
  <si>
    <t>達成率</t>
    <rPh sb="0" eb="3">
      <t>タッセイリツ</t>
    </rPh>
    <phoneticPr fontId="2"/>
  </si>
  <si>
    <t>売価</t>
    <rPh sb="0" eb="2">
      <t>バイカ</t>
    </rPh>
    <phoneticPr fontId="2"/>
  </si>
  <si>
    <t>販売数</t>
    <rPh sb="0" eb="3">
      <t>ハンバイスウ</t>
    </rPh>
    <phoneticPr fontId="2"/>
  </si>
  <si>
    <t>返品数</t>
    <rPh sb="0" eb="3">
      <t>ヘンピンスウ</t>
    </rPh>
    <phoneticPr fontId="2"/>
  </si>
  <si>
    <t>販売奨励金</t>
    <rPh sb="0" eb="2">
      <t>ハンバイ</t>
    </rPh>
    <rPh sb="2" eb="5">
      <t>ショウレイキン</t>
    </rPh>
    <phoneticPr fontId="2"/>
  </si>
  <si>
    <t>支払額</t>
    <rPh sb="0" eb="3">
      <t>シハライガク</t>
    </rPh>
    <phoneticPr fontId="2"/>
  </si>
  <si>
    <t>合　計</t>
    <rPh sb="0" eb="1">
      <t>ゴウ</t>
    </rPh>
    <rPh sb="2" eb="3">
      <t>ケイ</t>
    </rPh>
    <phoneticPr fontId="2"/>
  </si>
  <si>
    <t>委　託　先　別　手　数　料　計　算　表</t>
    <rPh sb="8" eb="9">
      <t>テ</t>
    </rPh>
    <rPh sb="10" eb="11">
      <t>カズ</t>
    </rPh>
    <rPh sb="12" eb="13">
      <t>リョウ</t>
    </rPh>
    <phoneticPr fontId="2"/>
  </si>
  <si>
    <t>＜手数料率テーブル＞</t>
    <rPh sb="1" eb="4">
      <t>テスウリョウ</t>
    </rPh>
    <rPh sb="4" eb="5">
      <t>リツ</t>
    </rPh>
    <phoneticPr fontId="2"/>
  </si>
  <si>
    <t>区分</t>
    <rPh sb="0" eb="2">
      <t>クブン</t>
    </rPh>
    <phoneticPr fontId="2"/>
  </si>
  <si>
    <t>手数料率</t>
    <rPh sb="0" eb="3">
      <t>テスウリョウ</t>
    </rPh>
    <rPh sb="3" eb="4">
      <t>リツ</t>
    </rPh>
    <phoneticPr fontId="2"/>
  </si>
  <si>
    <t>＜商品テーブル＞</t>
    <rPh sb="1" eb="3">
      <t>ショウヒン</t>
    </rPh>
    <phoneticPr fontId="2"/>
  </si>
  <si>
    <t>原価</t>
    <rPh sb="0" eb="2">
      <t>ゲンカ</t>
    </rPh>
    <phoneticPr fontId="2"/>
  </si>
  <si>
    <t>利益率</t>
    <rPh sb="0" eb="2">
      <t>リエキ</t>
    </rPh>
    <rPh sb="2" eb="3">
      <t>リツ</t>
    </rPh>
    <phoneticPr fontId="2"/>
  </si>
  <si>
    <t>東海百貨店</t>
    <rPh sb="0" eb="2">
      <t>トウカイ</t>
    </rPh>
    <rPh sb="2" eb="5">
      <t>ヒャッカテン</t>
    </rPh>
    <phoneticPr fontId="2"/>
  </si>
  <si>
    <t>ＪＣＫ商事</t>
    <rPh sb="3" eb="5">
      <t>ショウジ</t>
    </rPh>
    <phoneticPr fontId="2"/>
  </si>
  <si>
    <t>さかもと屋</t>
    <rPh sb="4" eb="5">
      <t>ヤ</t>
    </rPh>
    <phoneticPr fontId="2"/>
  </si>
  <si>
    <t>朝日ストア</t>
    <rPh sb="0" eb="2">
      <t>アサヒ</t>
    </rPh>
    <phoneticPr fontId="2"/>
  </si>
  <si>
    <t>小山田総業</t>
    <rPh sb="0" eb="3">
      <t>オヤマダ</t>
    </rPh>
    <rPh sb="3" eb="5">
      <t>ソウギョウ</t>
    </rPh>
    <phoneticPr fontId="2"/>
  </si>
  <si>
    <t>商品Ａ</t>
  </si>
  <si>
    <t>商品Ａ</t>
    <phoneticPr fontId="2"/>
  </si>
  <si>
    <t>商品Ｂ</t>
  </si>
  <si>
    <t>商品Ｂ</t>
    <phoneticPr fontId="2"/>
  </si>
  <si>
    <t>商品Ｃ</t>
  </si>
  <si>
    <t>商品Ｃ</t>
    <phoneticPr fontId="2"/>
  </si>
  <si>
    <t>商品Ｄ</t>
  </si>
  <si>
    <t>商品Ｄ</t>
    <phoneticPr fontId="2"/>
  </si>
  <si>
    <t>商品Ｅ</t>
    <rPh sb="0" eb="2">
      <t>ショウヒン</t>
    </rPh>
    <phoneticPr fontId="2"/>
  </si>
  <si>
    <t>評価</t>
    <rPh sb="0" eb="2">
      <t>ヒョウカ</t>
    </rPh>
    <phoneticPr fontId="2"/>
  </si>
  <si>
    <t>返品率</t>
    <rPh sb="0" eb="2">
      <t>ヘンピン</t>
    </rPh>
    <rPh sb="2" eb="3">
      <t>リツ</t>
    </rPh>
    <phoneticPr fontId="2"/>
  </si>
  <si>
    <t>販売目標数</t>
    <rPh sb="0" eb="2">
      <t>ハンバイ</t>
    </rPh>
    <rPh sb="2" eb="4">
      <t>モクヒョウ</t>
    </rPh>
    <rPh sb="4" eb="5">
      <t>スウ</t>
    </rPh>
    <phoneticPr fontId="2"/>
  </si>
  <si>
    <t>販売額</t>
    <rPh sb="0" eb="3">
      <t>ハンバイガク</t>
    </rPh>
    <phoneticPr fontId="2"/>
  </si>
  <si>
    <t>委託数が300以上450未満で返品率が9.0%未満の手数料の合計</t>
    <rPh sb="0" eb="2">
      <t>イタク</t>
    </rPh>
    <rPh sb="2" eb="3">
      <t>スウ</t>
    </rPh>
    <rPh sb="7" eb="9">
      <t>イジョウ</t>
    </rPh>
    <rPh sb="12" eb="14">
      <t>ミマン</t>
    </rPh>
    <rPh sb="15" eb="18">
      <t>ヘンピンリツ</t>
    </rPh>
    <rPh sb="23" eb="25">
      <t>ミマン</t>
    </rPh>
    <rPh sb="26" eb="29">
      <t>テスウリョウ</t>
    </rPh>
    <rPh sb="30" eb="32">
      <t>ゴウケイ</t>
    </rPh>
    <phoneticPr fontId="2"/>
  </si>
  <si>
    <t>&gt;=300</t>
    <phoneticPr fontId="2"/>
  </si>
  <si>
    <t>&lt;450</t>
    <phoneticPr fontId="2"/>
  </si>
  <si>
    <t>&lt;9.0%</t>
    <phoneticPr fontId="2"/>
  </si>
  <si>
    <t>販売額が最大の委託先名</t>
    <rPh sb="0" eb="3">
      <t>ハンバイガク</t>
    </rPh>
    <rPh sb="4" eb="6">
      <t>サイダイ</t>
    </rPh>
    <rPh sb="7" eb="10">
      <t>イタクサキ</t>
    </rPh>
    <rPh sb="10" eb="11">
      <t>メイ</t>
    </rPh>
    <phoneticPr fontId="2"/>
  </si>
  <si>
    <t>商品Ａ</t>
    <rPh sb="0" eb="2">
      <t>ショウヒン</t>
    </rPh>
    <phoneticPr fontId="2"/>
  </si>
  <si>
    <t>商品Ｅ</t>
    <phoneticPr fontId="2"/>
  </si>
  <si>
    <t>【100点】</t>
    <rPh sb="4" eb="5">
      <t>テン</t>
    </rPh>
    <phoneticPr fontId="6"/>
  </si>
  <si>
    <t>グラフ【20点】</t>
    <rPh sb="6" eb="7">
      <t>テン</t>
    </rPh>
    <phoneticPr fontId="6"/>
  </si>
  <si>
    <t>【20点】</t>
    <rPh sb="3" eb="4">
      <t>テン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</si>
</sst>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38" fontId="4" fillId="0" borderId="8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4" fillId="0" borderId="0" xfId="0" applyNumberFormat="1" applyFont="1">
      <alignment vertical="center"/>
    </xf>
    <xf numFmtId="38" fontId="4" fillId="0" borderId="0" xfId="2" applyFont="1" applyBorder="1">
      <alignment vertical="center"/>
    </xf>
    <xf numFmtId="0" fontId="0" fillId="0" borderId="3" xfId="0" applyBorder="1" applyAlignment="1">
      <alignment horizontal="center" vertical="center"/>
    </xf>
    <xf numFmtId="38" fontId="4" fillId="0" borderId="1" xfId="2" applyFont="1" applyFill="1" applyBorder="1">
      <alignment vertical="center"/>
    </xf>
    <xf numFmtId="176" fontId="4" fillId="0" borderId="6" xfId="1" applyNumberFormat="1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7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8" xfId="2" applyFont="1" applyFill="1" applyBorder="1">
      <alignment vertical="center"/>
    </xf>
    <xf numFmtId="38" fontId="4" fillId="0" borderId="9" xfId="2" applyFont="1" applyFill="1" applyBorder="1">
      <alignment vertical="center"/>
    </xf>
    <xf numFmtId="38" fontId="5" fillId="0" borderId="1" xfId="2" applyFont="1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0" fontId="0" fillId="0" borderId="15" xfId="0" applyBorder="1">
      <alignment vertical="center"/>
    </xf>
    <xf numFmtId="38" fontId="5" fillId="0" borderId="14" xfId="2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0" fontId="5" fillId="0" borderId="1" xfId="0" applyFont="1" applyBorder="1">
      <alignment vertical="center"/>
    </xf>
    <xf numFmtId="38" fontId="4" fillId="0" borderId="1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38" fontId="5" fillId="0" borderId="1" xfId="2" applyFont="1" applyBorder="1">
      <alignment vertical="center"/>
    </xf>
    <xf numFmtId="38" fontId="5" fillId="0" borderId="6" xfId="2" applyFont="1" applyBorder="1" applyAlignment="1">
      <alignment vertical="center"/>
    </xf>
    <xf numFmtId="0" fontId="5" fillId="0" borderId="7" xfId="0" applyFont="1" applyBorder="1">
      <alignment vertical="center"/>
    </xf>
    <xf numFmtId="38" fontId="5" fillId="0" borderId="8" xfId="2" applyFont="1" applyBorder="1">
      <alignment vertical="center"/>
    </xf>
    <xf numFmtId="38" fontId="5" fillId="0" borderId="9" xfId="2" applyFont="1" applyBorder="1" applyAlignment="1">
      <alignment vertical="center"/>
    </xf>
    <xf numFmtId="3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38" fontId="4" fillId="0" borderId="17" xfId="2" applyFont="1" applyBorder="1">
      <alignment vertical="center"/>
    </xf>
    <xf numFmtId="0" fontId="0" fillId="0" borderId="2" xfId="0" applyBorder="1">
      <alignment vertical="center"/>
    </xf>
    <xf numFmtId="38" fontId="4" fillId="0" borderId="4" xfId="2" applyFont="1" applyBorder="1">
      <alignment vertical="center"/>
    </xf>
    <xf numFmtId="0" fontId="4" fillId="0" borderId="9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5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4" fillId="0" borderId="16" xfId="2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3">
      <alignment vertical="center"/>
    </xf>
  </cellXfs>
  <cellStyles count="4">
    <cellStyle name="パーセント" xfId="1" builtinId="5"/>
    <cellStyle name="桁区切り" xfId="2" builtinId="6"/>
    <cellStyle name="標準" xfId="0" builtinId="0"/>
    <cellStyle name="標準 2" xfId="3" xr:uid="{44CFAEB1-7E4E-422E-AE2F-39321F019D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+mn-ea"/>
                <a:cs typeface="+mn-cs"/>
              </a:defRPr>
            </a:pPr>
            <a:r>
              <a:rPr lang="ja-JP" altLang="en-US" sz="1100">
                <a:latin typeface="ＭＳ 明朝" panose="02020609040205080304" pitchFamily="17" charset="-128"/>
                <a:ea typeface="ＭＳ 明朝" panose="02020609040205080304" pitchFamily="17" charset="-128"/>
              </a:rPr>
              <a:t>委託先別の集計グラフ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計算表!$M$2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計算表!$I$3:$I$7</c:f>
              <c:strCache>
                <c:ptCount val="5"/>
                <c:pt idx="0">
                  <c:v>さかもと屋</c:v>
                </c:pt>
                <c:pt idx="1">
                  <c:v>朝日ストア</c:v>
                </c:pt>
                <c:pt idx="2">
                  <c:v>ＪＣＫ商事</c:v>
                </c:pt>
                <c:pt idx="3">
                  <c:v>東海百貨店</c:v>
                </c:pt>
                <c:pt idx="4">
                  <c:v>小山田総業</c:v>
                </c:pt>
              </c:strCache>
            </c:strRef>
          </c:cat>
          <c:val>
            <c:numRef>
              <c:f>計算表!$M$3:$M$7</c:f>
              <c:numCache>
                <c:formatCode>#,##0_);[Red]\(#,##0\)</c:formatCode>
                <c:ptCount val="5"/>
                <c:pt idx="0">
                  <c:v>1881749</c:v>
                </c:pt>
                <c:pt idx="1">
                  <c:v>1860961</c:v>
                </c:pt>
                <c:pt idx="2">
                  <c:v>1668647</c:v>
                </c:pt>
                <c:pt idx="3">
                  <c:v>1607662</c:v>
                </c:pt>
                <c:pt idx="4">
                  <c:v>1335746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29758048"/>
        <c:axId val="1029761888"/>
      </c:barChart>
      <c:lineChart>
        <c:grouping val="standard"/>
        <c:varyColors val="0"/>
        <c:ser>
          <c:idx val="0"/>
          <c:order val="0"/>
          <c:tx>
            <c:strRef>
              <c:f>計算表!$K$2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計算表!$I$3:$I$7</c:f>
              <c:strCache>
                <c:ptCount val="5"/>
                <c:pt idx="0">
                  <c:v>さかもと屋</c:v>
                </c:pt>
                <c:pt idx="1">
                  <c:v>朝日ストア</c:v>
                </c:pt>
                <c:pt idx="2">
                  <c:v>ＪＣＫ商事</c:v>
                </c:pt>
                <c:pt idx="3">
                  <c:v>東海百貨店</c:v>
                </c:pt>
                <c:pt idx="4">
                  <c:v>小山田総業</c:v>
                </c:pt>
              </c:strCache>
            </c:strRef>
          </c:cat>
          <c:val>
            <c:numRef>
              <c:f>計算表!$K$3:$K$7</c:f>
              <c:numCache>
                <c:formatCode>#,##0_);[Red]\(#,##0\)</c:formatCode>
                <c:ptCount val="5"/>
                <c:pt idx="0">
                  <c:v>2074</c:v>
                </c:pt>
                <c:pt idx="1">
                  <c:v>2048</c:v>
                </c:pt>
                <c:pt idx="2">
                  <c:v>1820</c:v>
                </c:pt>
                <c:pt idx="3">
                  <c:v>1712</c:v>
                </c:pt>
                <c:pt idx="4">
                  <c:v>1482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099720"/>
        <c:axId val="620102016"/>
      </c:lineChart>
      <c:catAx>
        <c:axId val="6200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102016"/>
        <c:crosses val="autoZero"/>
        <c:auto val="1"/>
        <c:lblAlgn val="ctr"/>
        <c:lblOffset val="100"/>
        <c:noMultiLvlLbl val="0"/>
      </c:catAx>
      <c:valAx>
        <c:axId val="620102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099720"/>
        <c:crosses val="autoZero"/>
        <c:crossBetween val="between"/>
      </c:valAx>
      <c:valAx>
        <c:axId val="102976188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029758048"/>
        <c:crosses val="max"/>
        <c:crossBetween val="between"/>
      </c:valAx>
      <c:catAx>
        <c:axId val="102975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97618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442911</xdr:colOff>
      <xdr:row>17</xdr:row>
      <xdr:rowOff>38100</xdr:rowOff>
    </xdr:from>
    <xdr:to>
      <xdr:col>15</xdr:col>
      <xdr:colOff>638174</xdr:colOff>
      <xdr:row>33</xdr:row>
      <xdr:rowOff>38100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0E5ED83-789A-2D29-F56B-95C3E7BDD7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/>
  </sheetViews>
  <sheetFormatPr defaultRowHeight="13.5"/>
  <cols>
    <col min="1" max="1" width="7.5" style="1" customWidth="1"/>
    <col min="2" max="2" width="7.5" style="1" bestFit="1" customWidth="1"/>
    <col min="3" max="3" width="5.5" style="1" bestFit="1" customWidth="1"/>
    <col min="4" max="6" width="6.5" style="1" bestFit="1" customWidth="1"/>
    <col min="7" max="7" width="4.625" style="1" customWidth="1"/>
    <col min="8" max="8" width="7.5" style="1" bestFit="1" customWidth="1"/>
    <col min="9" max="10" width="11.625" style="1" bestFit="1" customWidth="1"/>
    <col min="11" max="11" width="9" style="1"/>
    <col min="12" max="12" width="5.5" style="1" bestFit="1" customWidth="1"/>
    <col min="13" max="13" width="9.5" style="1" bestFit="1" customWidth="1"/>
    <col min="14" max="16384" width="9" style="1"/>
  </cols>
  <sheetData>
    <row r="1" spans="1:13">
      <c r="A1" t="s">
        <v>23</v>
      </c>
      <c r="H1" t="s">
        <v>7</v>
      </c>
      <c r="L1" s="1" t="s">
        <v>20</v>
      </c>
    </row>
    <row r="2" spans="1:13">
      <c r="A2" s="61" t="s">
        <v>9</v>
      </c>
      <c r="B2" s="61" t="s">
        <v>6</v>
      </c>
      <c r="C2" s="61" t="s">
        <v>24</v>
      </c>
      <c r="D2" s="61" t="s">
        <v>25</v>
      </c>
      <c r="E2" s="61"/>
      <c r="F2" s="61"/>
      <c r="H2" s="11" t="s">
        <v>10</v>
      </c>
      <c r="I2" s="2" t="s">
        <v>0</v>
      </c>
      <c r="J2" s="11" t="s">
        <v>42</v>
      </c>
      <c r="L2" s="33" t="s">
        <v>21</v>
      </c>
      <c r="M2" s="11" t="s">
        <v>22</v>
      </c>
    </row>
    <row r="3" spans="1:13">
      <c r="A3" s="61"/>
      <c r="B3" s="61"/>
      <c r="C3" s="61"/>
      <c r="D3" s="62" t="s">
        <v>14</v>
      </c>
      <c r="E3" s="62"/>
      <c r="F3" s="62"/>
      <c r="H3" s="4">
        <v>101</v>
      </c>
      <c r="I3" s="42" t="s">
        <v>26</v>
      </c>
      <c r="J3" s="53">
        <v>1650</v>
      </c>
      <c r="K3"/>
      <c r="L3" s="42">
        <v>1</v>
      </c>
      <c r="M3" s="54">
        <v>0.11600000000000001</v>
      </c>
    </row>
    <row r="4" spans="1:13">
      <c r="A4" s="61"/>
      <c r="B4" s="61"/>
      <c r="C4" s="61"/>
      <c r="D4" s="55">
        <v>1</v>
      </c>
      <c r="E4" s="55">
        <v>300</v>
      </c>
      <c r="F4" s="55">
        <v>420</v>
      </c>
      <c r="H4" s="4">
        <v>102</v>
      </c>
      <c r="I4" s="42" t="s">
        <v>27</v>
      </c>
      <c r="J4" s="53">
        <v>1740</v>
      </c>
      <c r="K4"/>
      <c r="L4" s="42">
        <v>2</v>
      </c>
      <c r="M4" s="54">
        <v>0.12200000000000001</v>
      </c>
    </row>
    <row r="5" spans="1:13">
      <c r="A5" s="4">
        <v>11</v>
      </c>
      <c r="B5" s="12" t="s">
        <v>49</v>
      </c>
      <c r="C5" s="5">
        <v>630</v>
      </c>
      <c r="D5" s="41">
        <v>0.25</v>
      </c>
      <c r="E5" s="41">
        <v>0.245</v>
      </c>
      <c r="F5" s="41">
        <v>0.24</v>
      </c>
      <c r="H5" s="4">
        <v>103</v>
      </c>
      <c r="I5" s="42" t="s">
        <v>28</v>
      </c>
      <c r="J5" s="53">
        <v>2160</v>
      </c>
      <c r="K5"/>
      <c r="L5" s="42">
        <v>3</v>
      </c>
      <c r="M5" s="54">
        <v>0.128</v>
      </c>
    </row>
    <row r="6" spans="1:13">
      <c r="A6" s="4">
        <v>12</v>
      </c>
      <c r="B6" s="12" t="s">
        <v>34</v>
      </c>
      <c r="C6" s="5">
        <v>690</v>
      </c>
      <c r="D6" s="41">
        <v>0.23499999999999999</v>
      </c>
      <c r="E6" s="41">
        <v>0.23</v>
      </c>
      <c r="F6" s="41">
        <v>0.22500000000000001</v>
      </c>
      <c r="H6" s="4">
        <v>201</v>
      </c>
      <c r="I6" s="42" t="s">
        <v>29</v>
      </c>
      <c r="J6" s="53">
        <v>1910</v>
      </c>
      <c r="K6"/>
    </row>
    <row r="7" spans="1:13">
      <c r="A7" s="4">
        <v>13</v>
      </c>
      <c r="B7" s="12" t="s">
        <v>36</v>
      </c>
      <c r="C7" s="5">
        <v>750</v>
      </c>
      <c r="D7" s="41">
        <v>0.22</v>
      </c>
      <c r="E7" s="41">
        <v>0.215</v>
      </c>
      <c r="F7" s="41">
        <v>0.21</v>
      </c>
      <c r="H7" s="12">
        <v>202</v>
      </c>
      <c r="I7" s="42" t="s">
        <v>30</v>
      </c>
      <c r="J7" s="53">
        <v>1520</v>
      </c>
      <c r="K7"/>
    </row>
    <row r="8" spans="1:13">
      <c r="A8" s="4">
        <v>14</v>
      </c>
      <c r="B8" s="12" t="s">
        <v>38</v>
      </c>
      <c r="C8" s="5">
        <v>810</v>
      </c>
      <c r="D8" s="41">
        <v>0.20499999999999999</v>
      </c>
      <c r="E8" s="41">
        <v>0.2</v>
      </c>
      <c r="F8" s="41">
        <v>0.19500000000000001</v>
      </c>
    </row>
    <row r="9" spans="1:13">
      <c r="A9" s="4">
        <v>15</v>
      </c>
      <c r="B9" s="12" t="s">
        <v>50</v>
      </c>
      <c r="C9" s="5">
        <v>870</v>
      </c>
      <c r="D9" s="41">
        <v>0.19</v>
      </c>
      <c r="E9" s="41">
        <v>0.185</v>
      </c>
      <c r="F9" s="41">
        <v>0.18</v>
      </c>
    </row>
  </sheetData>
  <mergeCells count="5">
    <mergeCell ref="D2:F2"/>
    <mergeCell ref="D3:F3"/>
    <mergeCell ref="A2:A4"/>
    <mergeCell ref="B2:B4"/>
    <mergeCell ref="C2:C4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workbookViewId="0"/>
  </sheetViews>
  <sheetFormatPr defaultRowHeight="13.5"/>
  <cols>
    <col min="1" max="3" width="7.5" style="1" bestFit="1" customWidth="1"/>
    <col min="4" max="4" width="11.625" style="1" bestFit="1" customWidth="1"/>
    <col min="5" max="6" width="7.5" style="1" customWidth="1"/>
    <col min="7" max="7" width="6.5" style="1" bestFit="1" customWidth="1"/>
    <col min="8" max="9" width="10.5" style="1" bestFit="1" customWidth="1"/>
    <col min="10" max="10" width="7.5" style="1" bestFit="1" customWidth="1"/>
    <col min="11" max="16384" width="9" style="1"/>
  </cols>
  <sheetData>
    <row r="1" spans="1:13" s="34" customFormat="1">
      <c r="A1" s="8" t="s">
        <v>9</v>
      </c>
      <c r="B1" s="17" t="s">
        <v>6</v>
      </c>
      <c r="C1" s="17" t="s">
        <v>10</v>
      </c>
      <c r="D1" s="17" t="s">
        <v>1</v>
      </c>
      <c r="E1" s="17" t="s">
        <v>2</v>
      </c>
      <c r="F1" s="17" t="s">
        <v>3</v>
      </c>
      <c r="G1" s="17" t="s">
        <v>13</v>
      </c>
      <c r="H1" s="17" t="s">
        <v>4</v>
      </c>
      <c r="I1" s="17" t="s">
        <v>5</v>
      </c>
      <c r="J1" s="9" t="s">
        <v>41</v>
      </c>
    </row>
    <row r="2" spans="1:13">
      <c r="A2" s="3">
        <v>11</v>
      </c>
      <c r="B2" s="12" t="str">
        <f>VLOOKUP(A2,テーブル!$A$5:$F$9,2,0)</f>
        <v>商品Ａ</v>
      </c>
      <c r="C2" s="4">
        <v>101</v>
      </c>
      <c r="D2" s="4" t="str">
        <f>VLOOKUP(C2,テーブル!$H$3:$J$7,2,0)</f>
        <v>東海百貨店</v>
      </c>
      <c r="E2" s="43">
        <v>281</v>
      </c>
      <c r="F2" s="43">
        <v>226</v>
      </c>
      <c r="G2" s="28">
        <f>ROUNDUP(VLOOKUP(A2,テーブル!$A$5:$F$9,3,0)*(1+INDEX(テーブル!$D$5:$F$9,MATCH(A2,テーブル!$A$5:$A$9,0),MATCH(F2,テーブル!$D$4:$F$4,1))),0)</f>
        <v>788</v>
      </c>
      <c r="H2" s="18">
        <f t="shared" ref="H2:H26" si="0">G2*F2</f>
        <v>178088</v>
      </c>
      <c r="I2" s="18">
        <f>ROUNDDOWN(H2*VLOOKUP(MOD(C2,10),テーブル!$L$3:$M$5,2,0),-1)</f>
        <v>20650</v>
      </c>
      <c r="J2" s="19">
        <f>ROUNDDOWN(1-F2/E2,3)</f>
        <v>0.19500000000000001</v>
      </c>
      <c r="K2" s="34"/>
      <c r="L2" s="34"/>
      <c r="M2" s="34"/>
    </row>
    <row r="3" spans="1:13">
      <c r="A3" s="3">
        <v>11</v>
      </c>
      <c r="B3" s="12" t="str">
        <f>VLOOKUP(A3,テーブル!$A$5:$F$9,2,0)</f>
        <v>商品Ａ</v>
      </c>
      <c r="C3" s="4">
        <v>102</v>
      </c>
      <c r="D3" s="4" t="str">
        <f>VLOOKUP(C3,テーブル!$H$3:$J$7,2,0)</f>
        <v>ＪＣＫ商事</v>
      </c>
      <c r="E3" s="43">
        <v>306</v>
      </c>
      <c r="F3" s="43">
        <v>297</v>
      </c>
      <c r="G3" s="28">
        <f>ROUNDUP(VLOOKUP(A3,テーブル!$A$5:$F$9,3,0)*(1+INDEX(テーブル!$D$5:$F$9,MATCH(A3,テーブル!$A$5:$A$9,0),MATCH(F3,テーブル!$D$4:$F$4,1))),0)</f>
        <v>788</v>
      </c>
      <c r="H3" s="18">
        <f t="shared" si="0"/>
        <v>234036</v>
      </c>
      <c r="I3" s="18">
        <f>ROUNDDOWN(H3*VLOOKUP(MOD(C3,10),テーブル!$L$3:$M$5,2,0),-1)</f>
        <v>28550</v>
      </c>
      <c r="J3" s="19">
        <f t="shared" ref="J3:J26" si="1">ROUNDDOWN(1-F3/E3,3)</f>
        <v>2.9000000000000001E-2</v>
      </c>
      <c r="K3" s="34"/>
      <c r="L3" s="34"/>
      <c r="M3" s="34"/>
    </row>
    <row r="4" spans="1:13">
      <c r="A4" s="3">
        <v>11</v>
      </c>
      <c r="B4" s="12" t="str">
        <f>VLOOKUP(A4,テーブル!$A$5:$F$9,2,0)</f>
        <v>商品Ａ</v>
      </c>
      <c r="C4" s="4">
        <v>103</v>
      </c>
      <c r="D4" s="4" t="str">
        <f>VLOOKUP(C4,テーブル!$H$3:$J$7,2,0)</f>
        <v>さかもと屋</v>
      </c>
      <c r="E4" s="43">
        <v>459</v>
      </c>
      <c r="F4" s="43">
        <v>458</v>
      </c>
      <c r="G4" s="28">
        <f>ROUNDUP(VLOOKUP(A4,テーブル!$A$5:$F$9,3,0)*(1+INDEX(テーブル!$D$5:$F$9,MATCH(A4,テーブル!$A$5:$A$9,0),MATCH(F4,テーブル!$D$4:$F$4,1))),0)</f>
        <v>782</v>
      </c>
      <c r="H4" s="18">
        <f t="shared" si="0"/>
        <v>358156</v>
      </c>
      <c r="I4" s="18">
        <f>ROUNDDOWN(H4*VLOOKUP(MOD(C4,10),テーブル!$L$3:$M$5,2,0),-1)</f>
        <v>45840</v>
      </c>
      <c r="J4" s="19">
        <f t="shared" si="1"/>
        <v>2E-3</v>
      </c>
      <c r="K4" s="34"/>
      <c r="L4" s="34"/>
      <c r="M4" s="34"/>
    </row>
    <row r="5" spans="1:13">
      <c r="A5" s="3">
        <v>11</v>
      </c>
      <c r="B5" s="12" t="str">
        <f>VLOOKUP(A5,テーブル!$A$5:$F$9,2,0)</f>
        <v>商品Ａ</v>
      </c>
      <c r="C5" s="4">
        <v>201</v>
      </c>
      <c r="D5" s="4" t="str">
        <f>VLOOKUP(C5,テーブル!$H$3:$J$7,2,0)</f>
        <v>朝日ストア</v>
      </c>
      <c r="E5" s="43">
        <v>365</v>
      </c>
      <c r="F5" s="43">
        <v>327</v>
      </c>
      <c r="G5" s="28">
        <f>ROUNDUP(VLOOKUP(A5,テーブル!$A$5:$F$9,3,0)*(1+INDEX(テーブル!$D$5:$F$9,MATCH(A5,テーブル!$A$5:$A$9,0),MATCH(F5,テーブル!$D$4:$F$4,1))),0)</f>
        <v>785</v>
      </c>
      <c r="H5" s="18">
        <f t="shared" si="0"/>
        <v>256695</v>
      </c>
      <c r="I5" s="18">
        <f>ROUNDDOWN(H5*VLOOKUP(MOD(C5,10),テーブル!$L$3:$M$5,2,0),-1)</f>
        <v>29770</v>
      </c>
      <c r="J5" s="19">
        <f t="shared" si="1"/>
        <v>0.104</v>
      </c>
      <c r="K5" s="34"/>
      <c r="L5" s="34"/>
      <c r="M5" s="34"/>
    </row>
    <row r="6" spans="1:13">
      <c r="A6" s="3">
        <v>11</v>
      </c>
      <c r="B6" s="12" t="str">
        <f>VLOOKUP(A6,テーブル!$A$5:$F$9,2,0)</f>
        <v>商品Ａ</v>
      </c>
      <c r="C6" s="4">
        <v>202</v>
      </c>
      <c r="D6" s="4" t="str">
        <f>VLOOKUP(C6,テーブル!$H$3:$J$7,2,0)</f>
        <v>小山田総業</v>
      </c>
      <c r="E6" s="43">
        <v>257</v>
      </c>
      <c r="F6" s="43">
        <v>233</v>
      </c>
      <c r="G6" s="28">
        <f>ROUNDUP(VLOOKUP(A6,テーブル!$A$5:$F$9,3,0)*(1+INDEX(テーブル!$D$5:$F$9,MATCH(A6,テーブル!$A$5:$A$9,0),MATCH(F6,テーブル!$D$4:$F$4,1))),0)</f>
        <v>788</v>
      </c>
      <c r="H6" s="18">
        <f t="shared" si="0"/>
        <v>183604</v>
      </c>
      <c r="I6" s="18">
        <f>ROUNDDOWN(H6*VLOOKUP(MOD(C6,10),テーブル!$L$3:$M$5,2,0),-1)</f>
        <v>22390</v>
      </c>
      <c r="J6" s="19">
        <f t="shared" si="1"/>
        <v>9.2999999999999999E-2</v>
      </c>
      <c r="K6" s="34"/>
      <c r="L6" s="34"/>
    </row>
    <row r="7" spans="1:13">
      <c r="A7" s="3">
        <v>12</v>
      </c>
      <c r="B7" s="12" t="str">
        <f>VLOOKUP(A7,テーブル!$A$5:$F$9,2,0)</f>
        <v>商品Ｂ</v>
      </c>
      <c r="C7" s="4">
        <v>101</v>
      </c>
      <c r="D7" s="4" t="str">
        <f>VLOOKUP(C7,テーブル!$H$3:$J$7,2,0)</f>
        <v>東海百貨店</v>
      </c>
      <c r="E7" s="43">
        <v>272</v>
      </c>
      <c r="F7" s="43">
        <v>240</v>
      </c>
      <c r="G7" s="28">
        <f>ROUNDUP(VLOOKUP(A7,テーブル!$A$5:$F$9,3,0)*(1+INDEX(テーブル!$D$5:$F$9,MATCH(A7,テーブル!$A$5:$A$9,0),MATCH(F7,テーブル!$D$4:$F$4,1))),0)</f>
        <v>853</v>
      </c>
      <c r="H7" s="18">
        <f t="shared" si="0"/>
        <v>204720</v>
      </c>
      <c r="I7" s="18">
        <f>ROUNDDOWN(H7*VLOOKUP(MOD(C7,10),テーブル!$L$3:$M$5,2,0),-1)</f>
        <v>23740</v>
      </c>
      <c r="J7" s="19">
        <f t="shared" si="1"/>
        <v>0.11700000000000001</v>
      </c>
      <c r="K7" s="34"/>
      <c r="L7" s="34"/>
    </row>
    <row r="8" spans="1:13">
      <c r="A8" s="3">
        <v>12</v>
      </c>
      <c r="B8" s="12" t="str">
        <f>VLOOKUP(A8,テーブル!$A$5:$F$9,2,0)</f>
        <v>商品Ｂ</v>
      </c>
      <c r="C8" s="4">
        <v>102</v>
      </c>
      <c r="D8" s="4" t="str">
        <f>VLOOKUP(C8,テーブル!$H$3:$J$7,2,0)</f>
        <v>ＪＣＫ商事</v>
      </c>
      <c r="E8" s="43">
        <v>504</v>
      </c>
      <c r="F8" s="43">
        <v>430</v>
      </c>
      <c r="G8" s="28">
        <f>ROUNDUP(VLOOKUP(A8,テーブル!$A$5:$F$9,3,0)*(1+INDEX(テーブル!$D$5:$F$9,MATCH(A8,テーブル!$A$5:$A$9,0),MATCH(F8,テーブル!$D$4:$F$4,1))),0)</f>
        <v>846</v>
      </c>
      <c r="H8" s="18">
        <f t="shared" si="0"/>
        <v>363780</v>
      </c>
      <c r="I8" s="18">
        <f>ROUNDDOWN(H8*VLOOKUP(MOD(C8,10),テーブル!$L$3:$M$5,2,0),-1)</f>
        <v>44380</v>
      </c>
      <c r="J8" s="19">
        <f t="shared" si="1"/>
        <v>0.14599999999999999</v>
      </c>
      <c r="K8" s="34"/>
      <c r="L8" s="34"/>
    </row>
    <row r="9" spans="1:13">
      <c r="A9" s="3">
        <v>12</v>
      </c>
      <c r="B9" s="12" t="str">
        <f>VLOOKUP(A9,テーブル!$A$5:$F$9,2,0)</f>
        <v>商品Ｂ</v>
      </c>
      <c r="C9" s="4">
        <v>103</v>
      </c>
      <c r="D9" s="4" t="str">
        <f>VLOOKUP(C9,テーブル!$H$3:$J$7,2,0)</f>
        <v>さかもと屋</v>
      </c>
      <c r="E9" s="43">
        <v>373</v>
      </c>
      <c r="F9" s="43">
        <v>341</v>
      </c>
      <c r="G9" s="28">
        <f>ROUNDUP(VLOOKUP(A9,テーブル!$A$5:$F$9,3,0)*(1+INDEX(テーブル!$D$5:$F$9,MATCH(A9,テーブル!$A$5:$A$9,0),MATCH(F9,テーブル!$D$4:$F$4,1))),0)</f>
        <v>849</v>
      </c>
      <c r="H9" s="18">
        <f t="shared" si="0"/>
        <v>289509</v>
      </c>
      <c r="I9" s="18">
        <f>ROUNDDOWN(H9*VLOOKUP(MOD(C9,10),テーブル!$L$3:$M$5,2,0),-1)</f>
        <v>37050</v>
      </c>
      <c r="J9" s="19">
        <f t="shared" si="1"/>
        <v>8.5000000000000006E-2</v>
      </c>
      <c r="K9" s="34"/>
      <c r="L9" s="34"/>
    </row>
    <row r="10" spans="1:13">
      <c r="A10" s="3">
        <v>12</v>
      </c>
      <c r="B10" s="12" t="str">
        <f>VLOOKUP(A10,テーブル!$A$5:$F$9,2,0)</f>
        <v>商品Ｂ</v>
      </c>
      <c r="C10" s="4">
        <v>201</v>
      </c>
      <c r="D10" s="4" t="str">
        <f>VLOOKUP(C10,テーブル!$H$3:$J$7,2,0)</f>
        <v>朝日ストア</v>
      </c>
      <c r="E10" s="43">
        <v>476</v>
      </c>
      <c r="F10" s="43">
        <v>464</v>
      </c>
      <c r="G10" s="28">
        <f>ROUNDUP(VLOOKUP(A10,テーブル!$A$5:$F$9,3,0)*(1+INDEX(テーブル!$D$5:$F$9,MATCH(A10,テーブル!$A$5:$A$9,0),MATCH(F10,テーブル!$D$4:$F$4,1))),0)</f>
        <v>846</v>
      </c>
      <c r="H10" s="18">
        <f t="shared" si="0"/>
        <v>392544</v>
      </c>
      <c r="I10" s="18">
        <f>ROUNDDOWN(H10*VLOOKUP(MOD(C10,10),テーブル!$L$3:$M$5,2,0),-1)</f>
        <v>45530</v>
      </c>
      <c r="J10" s="19">
        <f t="shared" si="1"/>
        <v>2.5000000000000001E-2</v>
      </c>
      <c r="K10" s="34"/>
      <c r="L10" s="34"/>
    </row>
    <row r="11" spans="1:13">
      <c r="A11" s="3">
        <v>12</v>
      </c>
      <c r="B11" s="12" t="str">
        <f>VLOOKUP(A11,テーブル!$A$5:$F$9,2,0)</f>
        <v>商品Ｂ</v>
      </c>
      <c r="C11" s="4">
        <v>202</v>
      </c>
      <c r="D11" s="4" t="str">
        <f>VLOOKUP(C11,テーブル!$H$3:$J$7,2,0)</f>
        <v>小山田総業</v>
      </c>
      <c r="E11" s="43">
        <v>442</v>
      </c>
      <c r="F11" s="43">
        <v>414</v>
      </c>
      <c r="G11" s="28">
        <f>ROUNDUP(VLOOKUP(A11,テーブル!$A$5:$F$9,3,0)*(1+INDEX(テーブル!$D$5:$F$9,MATCH(A11,テーブル!$A$5:$A$9,0),MATCH(F11,テーブル!$D$4:$F$4,1))),0)</f>
        <v>849</v>
      </c>
      <c r="H11" s="18">
        <f t="shared" si="0"/>
        <v>351486</v>
      </c>
      <c r="I11" s="18">
        <f>ROUNDDOWN(H11*VLOOKUP(MOD(C11,10),テーブル!$L$3:$M$5,2,0),-1)</f>
        <v>42880</v>
      </c>
      <c r="J11" s="19">
        <f t="shared" si="1"/>
        <v>6.3E-2</v>
      </c>
      <c r="K11" s="34"/>
      <c r="L11" s="34"/>
    </row>
    <row r="12" spans="1:13">
      <c r="A12" s="3">
        <v>13</v>
      </c>
      <c r="B12" s="12" t="str">
        <f>VLOOKUP(A12,テーブル!$A$5:$F$9,2,0)</f>
        <v>商品Ｃ</v>
      </c>
      <c r="C12" s="4">
        <v>101</v>
      </c>
      <c r="D12" s="4" t="str">
        <f>VLOOKUP(C12,テーブル!$H$3:$J$7,2,0)</f>
        <v>東海百貨店</v>
      </c>
      <c r="E12" s="43">
        <v>251</v>
      </c>
      <c r="F12" s="43">
        <v>230</v>
      </c>
      <c r="G12" s="28">
        <f>ROUNDUP(VLOOKUP(A12,テーブル!$A$5:$F$9,3,0)*(1+INDEX(テーブル!$D$5:$F$9,MATCH(A12,テーブル!$A$5:$A$9,0),MATCH(F12,テーブル!$D$4:$F$4,1))),0)</f>
        <v>915</v>
      </c>
      <c r="H12" s="18">
        <f t="shared" si="0"/>
        <v>210450</v>
      </c>
      <c r="I12" s="18">
        <f>ROUNDDOWN(H12*VLOOKUP(MOD(C12,10),テーブル!$L$3:$M$5,2,0),-1)</f>
        <v>24410</v>
      </c>
      <c r="J12" s="19">
        <f t="shared" si="1"/>
        <v>8.3000000000000004E-2</v>
      </c>
      <c r="K12" s="34"/>
      <c r="L12" s="34"/>
    </row>
    <row r="13" spans="1:13">
      <c r="A13" s="3">
        <v>13</v>
      </c>
      <c r="B13" s="12" t="str">
        <f>VLOOKUP(A13,テーブル!$A$5:$F$9,2,0)</f>
        <v>商品Ｃ</v>
      </c>
      <c r="C13" s="4">
        <v>102</v>
      </c>
      <c r="D13" s="4" t="str">
        <f>VLOOKUP(C13,テーブル!$H$3:$J$7,2,0)</f>
        <v>ＪＣＫ商事</v>
      </c>
      <c r="E13" s="43">
        <v>371</v>
      </c>
      <c r="F13" s="43">
        <v>362</v>
      </c>
      <c r="G13" s="28">
        <f>ROUNDUP(VLOOKUP(A13,テーブル!$A$5:$F$9,3,0)*(1+INDEX(テーブル!$D$5:$F$9,MATCH(A13,テーブル!$A$5:$A$9,0),MATCH(F13,テーブル!$D$4:$F$4,1))),0)</f>
        <v>912</v>
      </c>
      <c r="H13" s="18">
        <f t="shared" si="0"/>
        <v>330144</v>
      </c>
      <c r="I13" s="18">
        <f>ROUNDDOWN(H13*VLOOKUP(MOD(C13,10),テーブル!$L$3:$M$5,2,0),-1)</f>
        <v>40270</v>
      </c>
      <c r="J13" s="19">
        <f t="shared" si="1"/>
        <v>2.4E-2</v>
      </c>
      <c r="K13" s="34"/>
      <c r="L13" s="34"/>
    </row>
    <row r="14" spans="1:13">
      <c r="A14" s="3">
        <v>13</v>
      </c>
      <c r="B14" s="12" t="str">
        <f>VLOOKUP(A14,テーブル!$A$5:$F$9,2,0)</f>
        <v>商品Ｃ</v>
      </c>
      <c r="C14" s="4">
        <v>103</v>
      </c>
      <c r="D14" s="4" t="str">
        <f>VLOOKUP(C14,テーブル!$H$3:$J$7,2,0)</f>
        <v>さかもと屋</v>
      </c>
      <c r="E14" s="43">
        <v>508</v>
      </c>
      <c r="F14" s="43">
        <v>465</v>
      </c>
      <c r="G14" s="28">
        <f>ROUNDUP(VLOOKUP(A14,テーブル!$A$5:$F$9,3,0)*(1+INDEX(テーブル!$D$5:$F$9,MATCH(A14,テーブル!$A$5:$A$9,0),MATCH(F14,テーブル!$D$4:$F$4,1))),0)</f>
        <v>908</v>
      </c>
      <c r="H14" s="18">
        <f t="shared" si="0"/>
        <v>422220</v>
      </c>
      <c r="I14" s="18">
        <f>ROUNDDOWN(H14*VLOOKUP(MOD(C14,10),テーブル!$L$3:$M$5,2,0),-1)</f>
        <v>54040</v>
      </c>
      <c r="J14" s="19">
        <f t="shared" si="1"/>
        <v>8.4000000000000005E-2</v>
      </c>
      <c r="K14" s="34"/>
      <c r="L14" s="34"/>
    </row>
    <row r="15" spans="1:13">
      <c r="A15" s="3">
        <v>13</v>
      </c>
      <c r="B15" s="12" t="str">
        <f>VLOOKUP(A15,テーブル!$A$5:$F$9,2,0)</f>
        <v>商品Ｃ</v>
      </c>
      <c r="C15" s="4">
        <v>201</v>
      </c>
      <c r="D15" s="4" t="str">
        <f>VLOOKUP(C15,テーブル!$H$3:$J$7,2,0)</f>
        <v>朝日ストア</v>
      </c>
      <c r="E15" s="43">
        <v>528</v>
      </c>
      <c r="F15" s="43">
        <v>506</v>
      </c>
      <c r="G15" s="28">
        <f>ROUNDUP(VLOOKUP(A15,テーブル!$A$5:$F$9,3,0)*(1+INDEX(テーブル!$D$5:$F$9,MATCH(A15,テーブル!$A$5:$A$9,0),MATCH(F15,テーブル!$D$4:$F$4,1))),0)</f>
        <v>908</v>
      </c>
      <c r="H15" s="18">
        <f t="shared" si="0"/>
        <v>459448</v>
      </c>
      <c r="I15" s="18">
        <f>ROUNDDOWN(H15*VLOOKUP(MOD(C15,10),テーブル!$L$3:$M$5,2,0),-1)</f>
        <v>53290</v>
      </c>
      <c r="J15" s="19">
        <f t="shared" si="1"/>
        <v>4.1000000000000002E-2</v>
      </c>
      <c r="K15" s="34"/>
      <c r="L15" s="34"/>
    </row>
    <row r="16" spans="1:13">
      <c r="A16" s="3">
        <v>13</v>
      </c>
      <c r="B16" s="12" t="str">
        <f>VLOOKUP(A16,テーブル!$A$5:$F$9,2,0)</f>
        <v>商品Ｃ</v>
      </c>
      <c r="C16" s="4">
        <v>202</v>
      </c>
      <c r="D16" s="4" t="str">
        <f>VLOOKUP(C16,テーブル!$H$3:$J$7,2,0)</f>
        <v>小山田総業</v>
      </c>
      <c r="E16" s="43">
        <v>458</v>
      </c>
      <c r="F16" s="43">
        <v>409</v>
      </c>
      <c r="G16" s="28">
        <f>ROUNDUP(VLOOKUP(A16,テーブル!$A$5:$F$9,3,0)*(1+INDEX(テーブル!$D$5:$F$9,MATCH(A16,テーブル!$A$5:$A$9,0),MATCH(F16,テーブル!$D$4:$F$4,1))),0)</f>
        <v>912</v>
      </c>
      <c r="H16" s="18">
        <f t="shared" si="0"/>
        <v>373008</v>
      </c>
      <c r="I16" s="18">
        <f>ROUNDDOWN(H16*VLOOKUP(MOD(C16,10),テーブル!$L$3:$M$5,2,0),-1)</f>
        <v>45500</v>
      </c>
      <c r="J16" s="19">
        <f t="shared" si="1"/>
        <v>0.106</v>
      </c>
      <c r="K16" s="34"/>
      <c r="L16" s="34"/>
    </row>
    <row r="17" spans="1:12">
      <c r="A17" s="3">
        <v>14</v>
      </c>
      <c r="B17" s="12" t="str">
        <f>VLOOKUP(A17,テーブル!$A$5:$F$9,2,0)</f>
        <v>商品Ｄ</v>
      </c>
      <c r="C17" s="4">
        <v>101</v>
      </c>
      <c r="D17" s="4" t="str">
        <f>VLOOKUP(C17,テーブル!$H$3:$J$7,2,0)</f>
        <v>東海百貨店</v>
      </c>
      <c r="E17" s="43">
        <v>570</v>
      </c>
      <c r="F17" s="43">
        <v>492</v>
      </c>
      <c r="G17" s="28">
        <f>ROUNDUP(VLOOKUP(A17,テーブル!$A$5:$F$9,3,0)*(1+INDEX(テーブル!$D$5:$F$9,MATCH(A17,テーブル!$A$5:$A$9,0),MATCH(F17,テーブル!$D$4:$F$4,1))),0)</f>
        <v>968</v>
      </c>
      <c r="H17" s="18">
        <f t="shared" si="0"/>
        <v>476256</v>
      </c>
      <c r="I17" s="18">
        <f>ROUNDDOWN(H17*VLOOKUP(MOD(C17,10),テーブル!$L$3:$M$5,2,0),-1)</f>
        <v>55240</v>
      </c>
      <c r="J17" s="19">
        <f t="shared" si="1"/>
        <v>0.13600000000000001</v>
      </c>
      <c r="K17" s="34"/>
      <c r="L17" s="34"/>
    </row>
    <row r="18" spans="1:12">
      <c r="A18" s="3">
        <v>14</v>
      </c>
      <c r="B18" s="12" t="str">
        <f>VLOOKUP(A18,テーブル!$A$5:$F$9,2,0)</f>
        <v>商品Ｄ</v>
      </c>
      <c r="C18" s="4">
        <v>102</v>
      </c>
      <c r="D18" s="4" t="str">
        <f>VLOOKUP(C18,テーブル!$H$3:$J$7,2,0)</f>
        <v>ＪＣＫ商事</v>
      </c>
      <c r="E18" s="43">
        <v>215</v>
      </c>
      <c r="F18" s="43">
        <v>201</v>
      </c>
      <c r="G18" s="28">
        <f>ROUNDUP(VLOOKUP(A18,テーブル!$A$5:$F$9,3,0)*(1+INDEX(テーブル!$D$5:$F$9,MATCH(A18,テーブル!$A$5:$A$9,0),MATCH(F18,テーブル!$D$4:$F$4,1))),0)</f>
        <v>977</v>
      </c>
      <c r="H18" s="18">
        <f t="shared" si="0"/>
        <v>196377</v>
      </c>
      <c r="I18" s="18">
        <f>ROUNDDOWN(H18*VLOOKUP(MOD(C18,10),テーブル!$L$3:$M$5,2,0),-1)</f>
        <v>23950</v>
      </c>
      <c r="J18" s="19">
        <f t="shared" si="1"/>
        <v>6.5000000000000002E-2</v>
      </c>
      <c r="K18" s="34"/>
      <c r="L18" s="34"/>
    </row>
    <row r="19" spans="1:12">
      <c r="A19" s="3">
        <v>14</v>
      </c>
      <c r="B19" s="12" t="str">
        <f>VLOOKUP(A19,テーブル!$A$5:$F$9,2,0)</f>
        <v>商品Ｄ</v>
      </c>
      <c r="C19" s="4">
        <v>103</v>
      </c>
      <c r="D19" s="4" t="str">
        <f>VLOOKUP(C19,テーブル!$H$3:$J$7,2,0)</f>
        <v>さかもと屋</v>
      </c>
      <c r="E19" s="43">
        <v>433</v>
      </c>
      <c r="F19" s="43">
        <v>394</v>
      </c>
      <c r="G19" s="28">
        <f>ROUNDUP(VLOOKUP(A19,テーブル!$A$5:$F$9,3,0)*(1+INDEX(テーブル!$D$5:$F$9,MATCH(A19,テーブル!$A$5:$A$9,0),MATCH(F19,テーブル!$D$4:$F$4,1))),0)</f>
        <v>972</v>
      </c>
      <c r="H19" s="18">
        <f t="shared" si="0"/>
        <v>382968</v>
      </c>
      <c r="I19" s="18">
        <f>ROUNDDOWN(H19*VLOOKUP(MOD(C19,10),テーブル!$L$3:$M$5,2,0),-1)</f>
        <v>49010</v>
      </c>
      <c r="J19" s="19">
        <f t="shared" si="1"/>
        <v>0.09</v>
      </c>
      <c r="K19" s="34"/>
      <c r="L19" s="34"/>
    </row>
    <row r="20" spans="1:12">
      <c r="A20" s="3">
        <v>14</v>
      </c>
      <c r="B20" s="12" t="str">
        <f>VLOOKUP(A20,テーブル!$A$5:$F$9,2,0)</f>
        <v>商品Ｄ</v>
      </c>
      <c r="C20" s="4">
        <v>201</v>
      </c>
      <c r="D20" s="4" t="str">
        <f>VLOOKUP(C20,テーブル!$H$3:$J$7,2,0)</f>
        <v>朝日ストア</v>
      </c>
      <c r="E20" s="43">
        <v>394</v>
      </c>
      <c r="F20" s="43">
        <v>373</v>
      </c>
      <c r="G20" s="28">
        <f>ROUNDUP(VLOOKUP(A20,テーブル!$A$5:$F$9,3,0)*(1+INDEX(テーブル!$D$5:$F$9,MATCH(A20,テーブル!$A$5:$A$9,0),MATCH(F20,テーブル!$D$4:$F$4,1))),0)</f>
        <v>972</v>
      </c>
      <c r="H20" s="18">
        <f t="shared" si="0"/>
        <v>362556</v>
      </c>
      <c r="I20" s="18">
        <f>ROUNDDOWN(H20*VLOOKUP(MOD(C20,10),テーブル!$L$3:$M$5,2,0),-1)</f>
        <v>42050</v>
      </c>
      <c r="J20" s="19">
        <f t="shared" si="1"/>
        <v>5.2999999999999999E-2</v>
      </c>
      <c r="K20" s="34"/>
      <c r="L20" s="34"/>
    </row>
    <row r="21" spans="1:12">
      <c r="A21" s="3">
        <v>14</v>
      </c>
      <c r="B21" s="12" t="str">
        <f>VLOOKUP(A21,テーブル!$A$5:$F$9,2,0)</f>
        <v>商品Ｄ</v>
      </c>
      <c r="C21" s="4">
        <v>202</v>
      </c>
      <c r="D21" s="4" t="str">
        <f>VLOOKUP(C21,テーブル!$H$3:$J$7,2,0)</f>
        <v>小山田総業</v>
      </c>
      <c r="E21" s="43">
        <v>261</v>
      </c>
      <c r="F21" s="43">
        <v>232</v>
      </c>
      <c r="G21" s="28">
        <f>ROUNDUP(VLOOKUP(A21,テーブル!$A$5:$F$9,3,0)*(1+INDEX(テーブル!$D$5:$F$9,MATCH(A21,テーブル!$A$5:$A$9,0),MATCH(F21,テーブル!$D$4:$F$4,1))),0)</f>
        <v>977</v>
      </c>
      <c r="H21" s="18">
        <f t="shared" si="0"/>
        <v>226664</v>
      </c>
      <c r="I21" s="18">
        <f>ROUNDDOWN(H21*VLOOKUP(MOD(C21,10),テーブル!$L$3:$M$5,2,0),-1)</f>
        <v>27650</v>
      </c>
      <c r="J21" s="19">
        <f t="shared" si="1"/>
        <v>0.111</v>
      </c>
      <c r="K21" s="34"/>
      <c r="L21" s="34"/>
    </row>
    <row r="22" spans="1:12">
      <c r="A22" s="3">
        <v>15</v>
      </c>
      <c r="B22" s="12" t="str">
        <f>VLOOKUP(A22,テーブル!$A$5:$F$9,2,0)</f>
        <v>商品Ｅ</v>
      </c>
      <c r="C22" s="4">
        <v>101</v>
      </c>
      <c r="D22" s="4" t="str">
        <f>VLOOKUP(C22,テーブル!$H$3:$J$7,2,0)</f>
        <v>東海百貨店</v>
      </c>
      <c r="E22" s="43">
        <v>559</v>
      </c>
      <c r="F22" s="43">
        <v>524</v>
      </c>
      <c r="G22" s="28">
        <f>ROUNDUP(VLOOKUP(A22,テーブル!$A$5:$F$9,3,0)*(1+INDEX(テーブル!$D$5:$F$9,MATCH(A22,テーブル!$A$5:$A$9,0),MATCH(F22,テーブル!$D$4:$F$4,1))),0)</f>
        <v>1027</v>
      </c>
      <c r="H22" s="18">
        <f t="shared" si="0"/>
        <v>538148</v>
      </c>
      <c r="I22" s="18">
        <f>ROUNDDOWN(H22*VLOOKUP(MOD(C22,10),テーブル!$L$3:$M$5,2,0),-1)</f>
        <v>62420</v>
      </c>
      <c r="J22" s="19">
        <f t="shared" si="1"/>
        <v>6.2E-2</v>
      </c>
      <c r="K22" s="34"/>
      <c r="L22" s="34"/>
    </row>
    <row r="23" spans="1:12">
      <c r="A23" s="3">
        <v>15</v>
      </c>
      <c r="B23" s="12" t="str">
        <f>VLOOKUP(A23,テーブル!$A$5:$F$9,2,0)</f>
        <v>商品Ｅ</v>
      </c>
      <c r="C23" s="4">
        <v>102</v>
      </c>
      <c r="D23" s="4" t="str">
        <f>VLOOKUP(C23,テーブル!$H$3:$J$7,2,0)</f>
        <v>ＪＣＫ商事</v>
      </c>
      <c r="E23" s="43">
        <v>557</v>
      </c>
      <c r="F23" s="43">
        <v>530</v>
      </c>
      <c r="G23" s="28">
        <f>ROUNDUP(VLOOKUP(A23,テーブル!$A$5:$F$9,3,0)*(1+INDEX(テーブル!$D$5:$F$9,MATCH(A23,テーブル!$A$5:$A$9,0),MATCH(F23,テーブル!$D$4:$F$4,1))),0)</f>
        <v>1027</v>
      </c>
      <c r="H23" s="18">
        <f t="shared" si="0"/>
        <v>544310</v>
      </c>
      <c r="I23" s="18">
        <f>ROUNDDOWN(H23*VLOOKUP(MOD(C23,10),テーブル!$L$3:$M$5,2,0),-1)</f>
        <v>66400</v>
      </c>
      <c r="J23" s="19">
        <f t="shared" si="1"/>
        <v>4.8000000000000001E-2</v>
      </c>
      <c r="K23" s="34"/>
      <c r="L23" s="34"/>
    </row>
    <row r="24" spans="1:12">
      <c r="A24" s="3">
        <v>15</v>
      </c>
      <c r="B24" s="12" t="str">
        <f>VLOOKUP(A24,テーブル!$A$5:$F$9,2,0)</f>
        <v>商品Ｅ</v>
      </c>
      <c r="C24" s="4">
        <v>103</v>
      </c>
      <c r="D24" s="4" t="str">
        <f>VLOOKUP(C24,テーブル!$H$3:$J$7,2,0)</f>
        <v>さかもと屋</v>
      </c>
      <c r="E24" s="43">
        <v>458</v>
      </c>
      <c r="F24" s="43">
        <v>416</v>
      </c>
      <c r="G24" s="28">
        <f>ROUNDUP(VLOOKUP(A24,テーブル!$A$5:$F$9,3,0)*(1+INDEX(テーブル!$D$5:$F$9,MATCH(A24,テーブル!$A$5:$A$9,0),MATCH(F24,テーブル!$D$4:$F$4,1))),0)</f>
        <v>1031</v>
      </c>
      <c r="H24" s="18">
        <f t="shared" si="0"/>
        <v>428896</v>
      </c>
      <c r="I24" s="18">
        <f>ROUNDDOWN(H24*VLOOKUP(MOD(C24,10),テーブル!$L$3:$M$5,2,0),-1)</f>
        <v>54890</v>
      </c>
      <c r="J24" s="19">
        <f t="shared" si="1"/>
        <v>9.0999999999999998E-2</v>
      </c>
      <c r="K24" s="34"/>
      <c r="L24" s="34"/>
    </row>
    <row r="25" spans="1:12">
      <c r="A25" s="3">
        <v>15</v>
      </c>
      <c r="B25" s="12" t="str">
        <f>VLOOKUP(A25,テーブル!$A$5:$F$9,2,0)</f>
        <v>商品Ｅ</v>
      </c>
      <c r="C25" s="4">
        <v>201</v>
      </c>
      <c r="D25" s="4" t="str">
        <f>VLOOKUP(C25,テーブル!$H$3:$J$7,2,0)</f>
        <v>朝日ストア</v>
      </c>
      <c r="E25" s="43">
        <v>433</v>
      </c>
      <c r="F25" s="43">
        <v>378</v>
      </c>
      <c r="G25" s="28">
        <f>ROUNDUP(VLOOKUP(A25,テーブル!$A$5:$F$9,3,0)*(1+INDEX(テーブル!$D$5:$F$9,MATCH(A25,テーブル!$A$5:$A$9,0),MATCH(F25,テーブル!$D$4:$F$4,1))),0)</f>
        <v>1031</v>
      </c>
      <c r="H25" s="18">
        <f t="shared" si="0"/>
        <v>389718</v>
      </c>
      <c r="I25" s="18">
        <f>ROUNDDOWN(H25*VLOOKUP(MOD(C25,10),テーブル!$L$3:$M$5,2,0),-1)</f>
        <v>45200</v>
      </c>
      <c r="J25" s="19">
        <f t="shared" si="1"/>
        <v>0.127</v>
      </c>
      <c r="K25" s="34"/>
      <c r="L25" s="34"/>
    </row>
    <row r="26" spans="1:12">
      <c r="A26" s="3">
        <v>15</v>
      </c>
      <c r="B26" s="12" t="str">
        <f>VLOOKUP(A26,テーブル!$A$5:$F$9,2,0)</f>
        <v>商品Ｅ</v>
      </c>
      <c r="C26" s="4">
        <v>202</v>
      </c>
      <c r="D26" s="4" t="str">
        <f>VLOOKUP(C26,テーブル!$H$3:$J$7,2,0)</f>
        <v>小山田総業</v>
      </c>
      <c r="E26" s="43">
        <v>197</v>
      </c>
      <c r="F26" s="43">
        <v>194</v>
      </c>
      <c r="G26" s="28">
        <f>ROUNDUP(VLOOKUP(A26,テーブル!$A$5:$F$9,3,0)*(1+INDEX(テーブル!$D$5:$F$9,MATCH(A26,テーブル!$A$5:$A$9,0),MATCH(F26,テーブル!$D$4:$F$4,1))),0)</f>
        <v>1036</v>
      </c>
      <c r="H26" s="18">
        <f t="shared" si="0"/>
        <v>200984</v>
      </c>
      <c r="I26" s="18">
        <f>ROUNDDOWN(H26*VLOOKUP(MOD(C26,10),テーブル!$L$3:$M$5,2,0),-1)</f>
        <v>24520</v>
      </c>
      <c r="J26" s="19">
        <f t="shared" si="1"/>
        <v>1.4999999999999999E-2</v>
      </c>
      <c r="K26" s="34"/>
      <c r="L26" s="34"/>
    </row>
    <row r="27" spans="1:12">
      <c r="A27" s="20"/>
      <c r="B27" s="21"/>
      <c r="C27" s="21"/>
      <c r="D27" s="21"/>
      <c r="E27" s="21"/>
      <c r="F27" s="21"/>
      <c r="G27" s="21"/>
      <c r="H27" s="21"/>
      <c r="I27" s="21"/>
      <c r="J27" s="22"/>
    </row>
    <row r="28" spans="1:12" ht="14.25" thickBot="1">
      <c r="A28" s="23"/>
      <c r="B28" s="24" t="s">
        <v>8</v>
      </c>
      <c r="C28" s="14"/>
      <c r="D28" s="25"/>
      <c r="E28" s="26">
        <f>SUM(E2:E26)</f>
        <v>9928</v>
      </c>
      <c r="F28" s="26">
        <f>SUM(F2:F26)</f>
        <v>9136</v>
      </c>
      <c r="G28" s="26"/>
      <c r="H28" s="26">
        <f>SUM(H2:H26)</f>
        <v>8354765</v>
      </c>
      <c r="I28" s="26">
        <f>SUM(I2:I26)</f>
        <v>1009620</v>
      </c>
      <c r="J28" s="27"/>
      <c r="K28" s="65" t="s">
        <v>51</v>
      </c>
    </row>
    <row r="29" spans="1:12">
      <c r="F29" s="13"/>
    </row>
  </sheetData>
  <sortState xmlns:xlrd2="http://schemas.microsoft.com/office/spreadsheetml/2017/richdata2" ref="A2:J26">
    <sortCondition ref="A2:A26"/>
    <sortCondition ref="C2:C26"/>
  </sortState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3"/>
  <sheetViews>
    <sheetView workbookViewId="0">
      <selection sqref="A1:F1"/>
    </sheetView>
  </sheetViews>
  <sheetFormatPr defaultRowHeight="13.5"/>
  <cols>
    <col min="1" max="2" width="7.5" style="1" bestFit="1" customWidth="1"/>
    <col min="3" max="3" width="10.5" style="1" bestFit="1" customWidth="1"/>
    <col min="4" max="4" width="8.5" style="1" bestFit="1" customWidth="1"/>
    <col min="5" max="5" width="7.5" style="1" bestFit="1" customWidth="1"/>
    <col min="6" max="6" width="5.5" style="1" bestFit="1" customWidth="1"/>
    <col min="7" max="7" width="10.5" style="1" bestFit="1" customWidth="1"/>
    <col min="8" max="8" width="7.5" style="1" customWidth="1"/>
    <col min="9" max="9" width="11.625" style="1" bestFit="1" customWidth="1"/>
    <col min="10" max="12" width="7.5" style="1" bestFit="1" customWidth="1"/>
    <col min="13" max="14" width="10.5" style="1" bestFit="1" customWidth="1"/>
    <col min="15" max="15" width="11.625" style="1" bestFit="1" customWidth="1"/>
    <col min="16" max="17" width="10.5" style="1" bestFit="1" customWidth="1"/>
    <col min="18" max="18" width="60.5" style="1" bestFit="1" customWidth="1"/>
    <col min="19" max="20" width="11.625" style="1" bestFit="1" customWidth="1"/>
    <col min="21" max="16384" width="9" style="1"/>
  </cols>
  <sheetData>
    <row r="1" spans="1:21" ht="14.25" thickBot="1">
      <c r="A1" s="64" t="s">
        <v>11</v>
      </c>
      <c r="B1" s="64"/>
      <c r="C1" s="64"/>
      <c r="D1" s="64"/>
      <c r="E1" s="64"/>
      <c r="F1" s="64"/>
      <c r="H1" s="63" t="s">
        <v>19</v>
      </c>
      <c r="I1" s="63"/>
      <c r="J1" s="63"/>
      <c r="K1" s="63"/>
      <c r="L1" s="63"/>
      <c r="M1" s="63"/>
      <c r="N1" s="63"/>
      <c r="O1" s="63"/>
      <c r="P1" s="63"/>
    </row>
    <row r="2" spans="1:21">
      <c r="A2" s="44" t="s">
        <v>6</v>
      </c>
      <c r="B2" s="45" t="s">
        <v>3</v>
      </c>
      <c r="C2" s="45" t="s">
        <v>4</v>
      </c>
      <c r="D2" s="45" t="s">
        <v>5</v>
      </c>
      <c r="E2" s="45" t="s">
        <v>15</v>
      </c>
      <c r="F2" s="46" t="s">
        <v>40</v>
      </c>
      <c r="H2" s="29" t="s">
        <v>10</v>
      </c>
      <c r="I2" s="30" t="s">
        <v>1</v>
      </c>
      <c r="J2" s="30" t="s">
        <v>2</v>
      </c>
      <c r="K2" s="30" t="s">
        <v>3</v>
      </c>
      <c r="L2" s="17" t="s">
        <v>12</v>
      </c>
      <c r="M2" s="30" t="s">
        <v>4</v>
      </c>
      <c r="N2" s="30" t="s">
        <v>5</v>
      </c>
      <c r="O2" s="30" t="s">
        <v>16</v>
      </c>
      <c r="P2" s="9" t="s">
        <v>17</v>
      </c>
      <c r="R2" s="56" t="s">
        <v>44</v>
      </c>
      <c r="S2" s="57">
        <f>DSUM(データ表!$A$1:$J$26,9,S6:U7)</f>
        <v>190800</v>
      </c>
    </row>
    <row r="3" spans="1:21" ht="14.25" thickBot="1">
      <c r="A3" s="47" t="s">
        <v>32</v>
      </c>
      <c r="B3" s="48">
        <f>DSUM(データ表!$A$1:$J$26,B$2,$A$9:$A$10)</f>
        <v>1541</v>
      </c>
      <c r="C3" s="48">
        <f>DSUM(データ表!$A$1:$J$26,C$2,$A$9:$A$10)</f>
        <v>1210579</v>
      </c>
      <c r="D3" s="48">
        <f>DSUM(データ表!$A$1:$J$26,D$2,$A$9:$A$10)</f>
        <v>147200</v>
      </c>
      <c r="E3" s="48">
        <f>SUMIF(データ表!$B$2:$B$26,A3,データ表!$E$2:$E$26)-B3</f>
        <v>127</v>
      </c>
      <c r="F3" s="49" t="str">
        <f>IF(OR(E3&lt;144,D3&gt;=AVERAGE($D$3:$D$7)),"良好","")</f>
        <v>良好</v>
      </c>
      <c r="G3" s="10"/>
      <c r="H3" s="3">
        <v>103</v>
      </c>
      <c r="I3" s="4" t="str">
        <f>VLOOKUP(H3,テーブル!$H$3:$J$7,2,0)</f>
        <v>さかもと屋</v>
      </c>
      <c r="J3" s="5">
        <f>DSUM(データ表!$A$1:$J$26,J$2,$J$11:$J$12)</f>
        <v>2231</v>
      </c>
      <c r="K3" s="5">
        <f>DSUM(データ表!$A$1:$J$26,K$2,$J$11:$J$12)</f>
        <v>2074</v>
      </c>
      <c r="L3" s="41">
        <f>ROUNDUP(K3/VLOOKUP(H3,テーブル!$H$3:$J$7,3,0),3)</f>
        <v>0.96099999999999997</v>
      </c>
      <c r="M3" s="5">
        <f>DSUM(データ表!$A$1:$J$26,M$2,$J$11:$J$12)</f>
        <v>1881749</v>
      </c>
      <c r="N3" s="5">
        <f>DSUM(データ表!$A$1:$J$26,N$2,$J$11:$J$12)</f>
        <v>240830</v>
      </c>
      <c r="O3" s="5">
        <f>ROUNDDOWN(IF(AND(K3&gt;=1800,L3&gt;=100%),N3*11.8%,N3*10.7%),0)</f>
        <v>25768</v>
      </c>
      <c r="P3" s="32">
        <f>N3+O3</f>
        <v>266598</v>
      </c>
      <c r="R3" s="23" t="s">
        <v>48</v>
      </c>
      <c r="S3" s="58" t="str">
        <f>DGET(データ表!$A$1:$J$26,4,S8:S9)</f>
        <v>ＪＣＫ商事</v>
      </c>
      <c r="T3" s="65" t="s">
        <v>53</v>
      </c>
    </row>
    <row r="4" spans="1:21">
      <c r="A4" s="47" t="s">
        <v>34</v>
      </c>
      <c r="B4" s="48">
        <f>DSUM(データ表!$A$1:$J$26,B$2,$B$9:$B$10)</f>
        <v>1889</v>
      </c>
      <c r="C4" s="48">
        <f>DSUM(データ表!$A$1:$J$26,C$2,$B$9:$B$10)</f>
        <v>1602039</v>
      </c>
      <c r="D4" s="48">
        <f>DSUM(データ表!$A$1:$J$26,D$2,$B$9:$B$10)</f>
        <v>193580</v>
      </c>
      <c r="E4" s="48">
        <f>SUMIF(データ表!$B$2:$B$26,A4,データ表!$E$2:$E$26)-B4</f>
        <v>178</v>
      </c>
      <c r="F4" s="49" t="str">
        <f>IF(OR(E4&lt;144,D4&gt;=AVERAGE($D$3:$D$7)),"良好","")</f>
        <v/>
      </c>
      <c r="G4" s="15"/>
      <c r="H4" s="3">
        <v>201</v>
      </c>
      <c r="I4" s="4" t="str">
        <f>VLOOKUP(H4,テーブル!$H$3:$J$7,2,0)</f>
        <v>朝日ストア</v>
      </c>
      <c r="J4" s="5">
        <f>DSUM(データ表!$A$1:$J$26,J$2,$K$11:$K$12)</f>
        <v>2196</v>
      </c>
      <c r="K4" s="5">
        <f>DSUM(データ表!$A$1:$J$26,K$2,$K$11:$K$12)</f>
        <v>2048</v>
      </c>
      <c r="L4" s="41">
        <f>ROUNDUP(K4/VLOOKUP(H4,テーブル!$H$3:$J$7,3,0),3)</f>
        <v>1.073</v>
      </c>
      <c r="M4" s="5">
        <f>DSUM(データ表!$A$1:$J$26,M$2,$K$11:$K$12)</f>
        <v>1860961</v>
      </c>
      <c r="N4" s="5">
        <f>DSUM(データ表!$A$1:$J$26,N$2,$K$11:$K$12)</f>
        <v>215840</v>
      </c>
      <c r="O4" s="5">
        <f>ROUNDDOWN(IF(AND(K4&gt;=1800,L4&gt;=100%),N4*11.8%,N4*10.7%),0)</f>
        <v>25469</v>
      </c>
      <c r="P4" s="32">
        <f>N4+O4</f>
        <v>241309</v>
      </c>
    </row>
    <row r="5" spans="1:21" ht="14.25" thickBot="1">
      <c r="A5" s="47" t="s">
        <v>36</v>
      </c>
      <c r="B5" s="48">
        <f>DSUM(データ表!$A$1:$J$26,B$2,$C$9:$C$10)</f>
        <v>1972</v>
      </c>
      <c r="C5" s="48">
        <f>DSUM(データ表!$A$1:$J$26,C$2,$C$9:$C$10)</f>
        <v>1795270</v>
      </c>
      <c r="D5" s="48">
        <f>DSUM(データ表!$A$1:$J$26,D$2,$C$9:$C$10)</f>
        <v>217510</v>
      </c>
      <c r="E5" s="48">
        <f>SUMIF(データ表!$B$2:$B$26,A5,データ表!$E$2:$E$26)-B5</f>
        <v>144</v>
      </c>
      <c r="F5" s="49" t="str">
        <f>IF(OR(E5&lt;144,D5&gt;=AVERAGE($D$3:$D$7)),"良好","")</f>
        <v>良好</v>
      </c>
      <c r="G5" s="15"/>
      <c r="H5" s="3">
        <v>102</v>
      </c>
      <c r="I5" s="4" t="str">
        <f>VLOOKUP(H5,テーブル!$H$3:$J$7,2,0)</f>
        <v>ＪＣＫ商事</v>
      </c>
      <c r="J5" s="5">
        <f>DSUM(データ表!$A$1:$J$26,J$2,$I$11:$I$12)</f>
        <v>1953</v>
      </c>
      <c r="K5" s="5">
        <f>DSUM(データ表!$A$1:$J$26,K$2,$I$11:$I$12)</f>
        <v>1820</v>
      </c>
      <c r="L5" s="41">
        <f>ROUNDUP(K5/VLOOKUP(H5,テーブル!$H$3:$J$7,3,0),3)</f>
        <v>1.0459999999999998</v>
      </c>
      <c r="M5" s="5">
        <f>DSUM(データ表!$A$1:$J$26,M$2,$I$11:$I$12)</f>
        <v>1668647</v>
      </c>
      <c r="N5" s="5">
        <f>DSUM(データ表!$A$1:$J$26,N$2,$I$11:$I$12)</f>
        <v>203550</v>
      </c>
      <c r="O5" s="5">
        <f>ROUNDDOWN(IF(AND(K5&gt;=1800,L5&gt;=100%),N5*11.8%,N5*10.7%),0)</f>
        <v>24018</v>
      </c>
      <c r="P5" s="32">
        <f>N5+O5</f>
        <v>227568</v>
      </c>
    </row>
    <row r="6" spans="1:21">
      <c r="A6" s="47" t="s">
        <v>38</v>
      </c>
      <c r="B6" s="48">
        <f>DSUM(データ表!$A$1:$J$26,B$2,$D$9:$D$10)</f>
        <v>1692</v>
      </c>
      <c r="C6" s="48">
        <f>DSUM(データ表!$A$1:$J$26,C$2,$D$9:$D$10)</f>
        <v>1644821</v>
      </c>
      <c r="D6" s="48">
        <f>DSUM(データ表!$A$1:$J$26,D$2,$D$9:$D$10)</f>
        <v>197900</v>
      </c>
      <c r="E6" s="48">
        <f>SUMIF(データ表!$B$2:$B$26,A6,データ表!$E$2:$E$26)-B6</f>
        <v>181</v>
      </c>
      <c r="F6" s="49" t="str">
        <f>IF(OR(E6&lt;144,D6&gt;=AVERAGE($D$3:$D$7)),"良好","")</f>
        <v/>
      </c>
      <c r="G6" s="15"/>
      <c r="H6" s="3">
        <v>101</v>
      </c>
      <c r="I6" s="4" t="str">
        <f>VLOOKUP(H6,テーブル!$H$3:$J$7,2,0)</f>
        <v>東海百貨店</v>
      </c>
      <c r="J6" s="5">
        <f>DSUM(データ表!$A$1:$J$26,J$2,$H$11:$H$12)</f>
        <v>1933</v>
      </c>
      <c r="K6" s="5">
        <f>DSUM(データ表!$A$1:$J$26,K$2,$H$11:$H$12)</f>
        <v>1712</v>
      </c>
      <c r="L6" s="41">
        <f>ROUNDUP(K6/VLOOKUP(H6,テーブル!$H$3:$J$7,3,0),3)</f>
        <v>1.0379999999999998</v>
      </c>
      <c r="M6" s="5">
        <f>DSUM(データ表!$A$1:$J$26,M$2,$H$11:$H$12)</f>
        <v>1607662</v>
      </c>
      <c r="N6" s="5">
        <f>DSUM(データ表!$A$1:$J$26,N$2,$H$11:$H$12)</f>
        <v>186460</v>
      </c>
      <c r="O6" s="5">
        <f>ROUNDDOWN(IF(AND(K6&gt;=1800,L6&gt;=100%),N6*11.8%,N6*10.7%),0)</f>
        <v>19951</v>
      </c>
      <c r="P6" s="32">
        <f>N6+O6</f>
        <v>206411</v>
      </c>
      <c r="S6" s="29" t="s">
        <v>2</v>
      </c>
      <c r="T6" s="30" t="s">
        <v>2</v>
      </c>
      <c r="U6" s="9" t="s">
        <v>41</v>
      </c>
    </row>
    <row r="7" spans="1:21" ht="14.25" thickBot="1">
      <c r="A7" s="50" t="s">
        <v>39</v>
      </c>
      <c r="B7" s="51">
        <f>DSUM(データ表!$A$1:$J$26,B$2,$E$9:$E$10)</f>
        <v>2042</v>
      </c>
      <c r="C7" s="51">
        <f>DSUM(データ表!$A$1:$J$26,C$2,$E$9:$E$10)</f>
        <v>2102056</v>
      </c>
      <c r="D7" s="51">
        <f>DSUM(データ表!$A$1:$J$26,D$2,$E$9:$E$10)</f>
        <v>253430</v>
      </c>
      <c r="E7" s="51">
        <f>SUMIF(データ表!$B$2:$B$26,A7,データ表!$E$2:$E$26)-B7</f>
        <v>162</v>
      </c>
      <c r="F7" s="52" t="str">
        <f>IF(OR(E7&lt;144,D7&gt;=AVERAGE($D$3:$D$7)),"良好","")</f>
        <v>良好</v>
      </c>
      <c r="G7" s="65" t="s">
        <v>51</v>
      </c>
      <c r="H7" s="3">
        <v>202</v>
      </c>
      <c r="I7" s="4" t="str">
        <f>VLOOKUP(H7,テーブル!$H$3:$J$7,2,0)</f>
        <v>小山田総業</v>
      </c>
      <c r="J7" s="5">
        <f>DSUM(データ表!$A$1:$J$26,J$2,$L$11:$L$12)</f>
        <v>1615</v>
      </c>
      <c r="K7" s="5">
        <f>DSUM(データ表!$A$1:$J$26,K$2,$L$11:$L$12)</f>
        <v>1482</v>
      </c>
      <c r="L7" s="41">
        <f>ROUNDUP(K7/VLOOKUP(H7,テーブル!$H$3:$J$7,3,0),3)</f>
        <v>0.97499999999999998</v>
      </c>
      <c r="M7" s="5">
        <f>DSUM(データ表!$A$1:$J$26,M$2,$L$11:$L$12)</f>
        <v>1335746</v>
      </c>
      <c r="N7" s="5">
        <f>DSUM(データ表!$A$1:$J$26,N$2,$L$11:$L$12)</f>
        <v>162940</v>
      </c>
      <c r="O7" s="5">
        <f>ROUNDDOWN(IF(AND(K7&gt;=1800,L7&gt;=100%),N7*11.8%,N7*10.7%),0)</f>
        <v>17434</v>
      </c>
      <c r="P7" s="32">
        <f>N7+O7</f>
        <v>180374</v>
      </c>
      <c r="S7" s="20" t="s">
        <v>45</v>
      </c>
      <c r="T7" s="14" t="s">
        <v>46</v>
      </c>
      <c r="U7" s="58" t="s">
        <v>47</v>
      </c>
    </row>
    <row r="8" spans="1:21" ht="14.25" thickBot="1">
      <c r="A8"/>
      <c r="B8" s="16"/>
      <c r="C8" s="16"/>
      <c r="D8" s="16"/>
      <c r="E8" s="16"/>
      <c r="F8" s="16"/>
      <c r="H8" s="3"/>
      <c r="I8" s="4"/>
      <c r="J8" s="4"/>
      <c r="K8" s="4"/>
      <c r="L8" s="4"/>
      <c r="M8" s="4"/>
      <c r="N8" s="4"/>
      <c r="O8" s="4"/>
      <c r="P8" s="6"/>
      <c r="S8" s="59" t="s">
        <v>43</v>
      </c>
    </row>
    <row r="9" spans="1:21" ht="14.25" thickBot="1">
      <c r="A9" s="38" t="s">
        <v>6</v>
      </c>
      <c r="B9" s="35" t="s">
        <v>6</v>
      </c>
      <c r="C9" s="37" t="s">
        <v>6</v>
      </c>
      <c r="D9" s="35" t="s">
        <v>6</v>
      </c>
      <c r="E9" s="35" t="s">
        <v>6</v>
      </c>
      <c r="F9" s="16"/>
      <c r="H9" s="23"/>
      <c r="I9" s="25" t="s">
        <v>18</v>
      </c>
      <c r="J9" s="7">
        <f>SUM(J3:J7)</f>
        <v>9928</v>
      </c>
      <c r="K9" s="7">
        <f>SUM(K3:K7)</f>
        <v>9136</v>
      </c>
      <c r="L9" s="14"/>
      <c r="M9" s="7">
        <f>SUM(M3:M7)</f>
        <v>8354765</v>
      </c>
      <c r="N9" s="7">
        <f>SUM(N3:N7)</f>
        <v>1009620</v>
      </c>
      <c r="O9" s="7">
        <f>SUM(O3:O7)</f>
        <v>112640</v>
      </c>
      <c r="P9" s="31">
        <f>SUM(P3:P7)</f>
        <v>1122260</v>
      </c>
      <c r="Q9" s="65" t="s">
        <v>51</v>
      </c>
      <c r="S9" s="60">
        <f>MAX(データ表!H2:H26)</f>
        <v>544310</v>
      </c>
    </row>
    <row r="10" spans="1:21" ht="14.25" thickBot="1">
      <c r="A10" s="36" t="s">
        <v>31</v>
      </c>
      <c r="B10" s="36" t="s">
        <v>33</v>
      </c>
      <c r="C10" s="36" t="s">
        <v>35</v>
      </c>
      <c r="D10" s="36" t="s">
        <v>37</v>
      </c>
      <c r="E10" s="36" t="s">
        <v>39</v>
      </c>
      <c r="F10" s="16"/>
    </row>
    <row r="11" spans="1:21">
      <c r="B11" s="13"/>
      <c r="C11" s="13"/>
      <c r="D11" s="13"/>
      <c r="E11" s="13"/>
      <c r="F11" s="13"/>
      <c r="H11" s="40" t="s">
        <v>10</v>
      </c>
      <c r="I11" s="40" t="s">
        <v>10</v>
      </c>
      <c r="J11" s="40" t="s">
        <v>10</v>
      </c>
      <c r="K11" s="40" t="s">
        <v>10</v>
      </c>
      <c r="L11" s="40" t="s">
        <v>10</v>
      </c>
    </row>
    <row r="12" spans="1:21" ht="14.25" thickBot="1">
      <c r="E12" s="13"/>
      <c r="H12" s="39">
        <v>101</v>
      </c>
      <c r="I12" s="39">
        <v>102</v>
      </c>
      <c r="J12" s="39">
        <v>103</v>
      </c>
      <c r="K12" s="39">
        <v>201</v>
      </c>
      <c r="L12" s="39">
        <v>202</v>
      </c>
    </row>
    <row r="13" spans="1:21">
      <c r="A13" s="10"/>
      <c r="B13" s="10"/>
      <c r="C13" s="10"/>
      <c r="D13" s="10"/>
      <c r="E13" s="10"/>
      <c r="F13" s="10"/>
    </row>
    <row r="14" spans="1:21">
      <c r="B14"/>
      <c r="C14"/>
    </row>
    <row r="15" spans="1:21">
      <c r="A15" s="10"/>
      <c r="B15" s="10"/>
      <c r="C15" s="10"/>
      <c r="D15" s="10"/>
      <c r="E15" s="10"/>
      <c r="F15" s="10"/>
    </row>
    <row r="33" spans="17:17">
      <c r="Q33" s="65" t="s">
        <v>52</v>
      </c>
    </row>
  </sheetData>
  <sortState xmlns:xlrd2="http://schemas.microsoft.com/office/spreadsheetml/2017/richdata2" ref="H3:P7">
    <sortCondition descending="1" ref="P3:P7"/>
  </sortState>
  <mergeCells count="2">
    <mergeCell ref="H1:P1"/>
    <mergeCell ref="A1:F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2019-01-16T21:02:38Z</cp:lastPrinted>
  <dcterms:created xsi:type="dcterms:W3CDTF">2012-06-19T05:36:06Z</dcterms:created>
  <dcterms:modified xsi:type="dcterms:W3CDTF">2025-03-04T06:44:56Z</dcterms:modified>
</cp:coreProperties>
</file>