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4(令和06)年度\令和07年02月\1表計算\SPS_202502\"/>
    </mc:Choice>
  </mc:AlternateContent>
  <xr:revisionPtr revIDLastSave="0" documentId="13_ncr:1_{F015DDDC-B681-4185-B501-E672A8764A94}" xr6:coauthVersionLast="47" xr6:coauthVersionMax="47" xr10:uidLastSave="{00000000-0000-0000-0000-000000000000}"/>
  <bookViews>
    <workbookView xWindow="-120" yWindow="-120" windowWidth="29040" windowHeight="15840" xr2:uid="{EE629A27-7B5E-4B14-A7E2-2DBAB4F99018}"/>
  </bookViews>
  <sheets>
    <sheet name="テーブル" sheetId="4" r:id="rId1"/>
    <sheet name="仕入データ表" sheetId="5" r:id="rId2"/>
    <sheet name="販売データ表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販売データ表!$B$1:$F$22</definedName>
    <definedName name="仕入データ表" localSheetId="1">仕入データ表!$A$2:$A$25</definedName>
  </definedNames>
  <calcPr calcId="181029"/>
</workbook>
</file>

<file path=xl/calcChain.xml><?xml version="1.0" encoding="utf-8"?>
<calcChain xmlns="http://schemas.openxmlformats.org/spreadsheetml/2006/main">
  <c r="E6" i="5" l="1"/>
  <c r="E5" i="5"/>
  <c r="F5" i="5" s="1"/>
  <c r="E4" i="5"/>
  <c r="F4" i="5" s="1"/>
  <c r="E3" i="5"/>
  <c r="E2" i="5"/>
  <c r="F2" i="5" s="1"/>
  <c r="F3" i="5"/>
  <c r="F6" i="5"/>
  <c r="F11" i="5"/>
  <c r="F12" i="5"/>
  <c r="F17" i="5"/>
  <c r="F18" i="5"/>
  <c r="F23" i="5"/>
  <c r="F24" i="5"/>
  <c r="C3" i="7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2" i="6"/>
  <c r="E7" i="5"/>
  <c r="F7" i="5" s="1"/>
  <c r="D8" i="7" s="1"/>
  <c r="E8" i="5"/>
  <c r="F8" i="5" s="1"/>
  <c r="E9" i="5"/>
  <c r="F9" i="5" s="1"/>
  <c r="E10" i="5"/>
  <c r="F10" i="5" s="1"/>
  <c r="E11" i="5"/>
  <c r="E12" i="5"/>
  <c r="E13" i="5"/>
  <c r="F13" i="5" s="1"/>
  <c r="E14" i="5"/>
  <c r="F14" i="5" s="1"/>
  <c r="E15" i="5"/>
  <c r="F15" i="5" s="1"/>
  <c r="E16" i="5"/>
  <c r="F16" i="5" s="1"/>
  <c r="E17" i="5"/>
  <c r="E18" i="5"/>
  <c r="E19" i="5"/>
  <c r="F19" i="5" s="1"/>
  <c r="E20" i="5"/>
  <c r="F20" i="5" s="1"/>
  <c r="E21" i="5"/>
  <c r="F21" i="5" s="1"/>
  <c r="E22" i="5"/>
  <c r="F22" i="5" s="1"/>
  <c r="E23" i="5"/>
  <c r="E24" i="5"/>
  <c r="E25" i="5"/>
  <c r="F25" i="5" s="1"/>
  <c r="F2" i="6"/>
  <c r="B4" i="7"/>
  <c r="B5" i="7"/>
  <c r="B6" i="7"/>
  <c r="B7" i="7"/>
  <c r="B8" i="7"/>
  <c r="B3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C4" i="7"/>
  <c r="C5" i="7"/>
  <c r="C6" i="7"/>
  <c r="C7" i="7"/>
  <c r="C8" i="7"/>
  <c r="K4" i="7"/>
  <c r="K5" i="7"/>
  <c r="K6" i="7"/>
  <c r="K7" i="7"/>
  <c r="K3" i="7"/>
  <c r="E3" i="7"/>
  <c r="D4" i="7" l="1"/>
  <c r="D3" i="7"/>
  <c r="D6" i="7"/>
  <c r="D7" i="7"/>
  <c r="D5" i="7"/>
  <c r="L5" i="7"/>
  <c r="M5" i="7" s="1"/>
  <c r="L4" i="7"/>
  <c r="M4" i="7" s="1"/>
  <c r="L3" i="7"/>
  <c r="M3" i="7" s="1"/>
  <c r="L7" i="7"/>
  <c r="M7" i="7" s="1"/>
  <c r="L6" i="7"/>
  <c r="M6" i="7" s="1"/>
  <c r="F3" i="7"/>
  <c r="E4" i="7"/>
  <c r="F4" i="7" s="1"/>
  <c r="E6" i="7"/>
  <c r="F6" i="7" s="1"/>
  <c r="E7" i="7"/>
  <c r="F7" i="7" s="1"/>
  <c r="E5" i="7"/>
  <c r="F5" i="7" s="1"/>
  <c r="E8" i="7"/>
  <c r="F8" i="7" s="1"/>
  <c r="G8" i="7" s="1"/>
  <c r="E33" i="6"/>
  <c r="G7" i="7" l="1"/>
  <c r="G6" i="7"/>
  <c r="N5" i="7"/>
  <c r="G3" i="7"/>
  <c r="G5" i="7"/>
  <c r="D10" i="7"/>
  <c r="G4" i="7"/>
  <c r="N4" i="7"/>
  <c r="L9" i="7"/>
  <c r="N3" i="7"/>
  <c r="N7" i="7"/>
  <c r="N6" i="7"/>
  <c r="H3" i="7" l="1"/>
  <c r="N9" i="7"/>
  <c r="H6" i="7"/>
  <c r="H4" i="7"/>
  <c r="M9" i="7"/>
  <c r="H7" i="7"/>
  <c r="H5" i="7"/>
  <c r="H8" i="7"/>
  <c r="G10" i="7"/>
  <c r="F10" i="7" l="1"/>
  <c r="C10" i="7" l="1"/>
  <c r="E10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857C7EF-65FE-4DE1-8563-92F8CAA51858}" name="仕入データ表" type="6" refreshedVersion="8" background="1" saveData="1">
    <textPr codePage="932" sourceFile="\\svr01\問題制作フォルダー\01_検定問題\1表計算\2024(令和06)年度\04_2月検定\SPS_140\仕入データ表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<sst xmlns="http://schemas.openxmlformats.org/spreadsheetml/2006/main" count="61" uniqueCount="48">
  <si>
    <t>商ＣＯ</t>
  </si>
  <si>
    <t>商品名</t>
  </si>
  <si>
    <t>諸経費</t>
  </si>
  <si>
    <t>請求額</t>
  </si>
  <si>
    <t>合　計</t>
    <rPh sb="0" eb="1">
      <t>ア</t>
    </rPh>
    <rPh sb="2" eb="3">
      <t>ケイ</t>
    </rPh>
    <phoneticPr fontId="3"/>
  </si>
  <si>
    <t>仕入数</t>
    <rPh sb="0" eb="2">
      <t>シイレ</t>
    </rPh>
    <rPh sb="2" eb="3">
      <t>スウ</t>
    </rPh>
    <phoneticPr fontId="2"/>
  </si>
  <si>
    <t xml:space="preserve"> </t>
    <phoneticPr fontId="2"/>
  </si>
  <si>
    <t>売価</t>
    <rPh sb="0" eb="2">
      <t>バイカ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</si>
  <si>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</si>
  <si>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</si>
  <si>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＜商品テーブル＞</t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</si>
  <si>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</si>
  <si>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</si>
  <si>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</si>
  <si>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＜販売先テーブル＞</t>
    <rPh sb="1" eb="3">
      <t>ハンバイ</t>
    </rPh>
    <phoneticPr fontId="2"/>
  </si>
  <si>
    <t>販売先名</t>
    <rPh sb="0" eb="2">
      <t>ハンバイ</t>
    </rPh>
    <phoneticPr fontId="2"/>
  </si>
  <si>
    <t>販売額</t>
    <rPh sb="0" eb="2">
      <t>ハンバイ</t>
    </rPh>
    <phoneticPr fontId="2"/>
  </si>
  <si>
    <t>商品</t>
    <phoneticPr fontId="2"/>
  </si>
  <si>
    <t>Ｅ</t>
    <phoneticPr fontId="2"/>
  </si>
  <si>
    <t>Ｆ</t>
    <phoneticPr fontId="2"/>
  </si>
  <si>
    <t>仕入額</t>
    <rPh sb="0" eb="2">
      <t>シイレ</t>
    </rPh>
    <rPh sb="2" eb="3">
      <t>ガク</t>
    </rPh>
    <phoneticPr fontId="2"/>
  </si>
  <si>
    <t>仕入数</t>
    <rPh sb="0" eb="3">
      <t>シイレスウ</t>
    </rPh>
    <phoneticPr fontId="2"/>
  </si>
  <si>
    <t>判定</t>
    <rPh sb="0" eb="2">
      <t>ハンテイ</t>
    </rPh>
    <phoneticPr fontId="2"/>
  </si>
  <si>
    <t>商　品　別　総　括　表</t>
    <rPh sb="4" eb="5">
      <t>ベツ</t>
    </rPh>
    <rPh sb="6" eb="7">
      <t>ソウ</t>
    </rPh>
    <rPh sb="8" eb="9">
      <t>カツ</t>
    </rPh>
    <rPh sb="10" eb="11">
      <t>ヒョウ</t>
    </rPh>
    <phoneticPr fontId="2"/>
  </si>
  <si>
    <t>＜割引率テーブル＞</t>
    <rPh sb="1" eb="3">
      <t>ワリビキ</t>
    </rPh>
    <rPh sb="3" eb="4">
      <t>リツ</t>
    </rPh>
    <phoneticPr fontId="2"/>
  </si>
  <si>
    <t>割引率</t>
    <rPh sb="0" eb="2">
      <t>ワリビキ</t>
    </rPh>
    <rPh sb="2" eb="3">
      <t>リツ</t>
    </rPh>
    <phoneticPr fontId="2"/>
  </si>
  <si>
    <t>販売日</t>
    <rPh sb="0" eb="3">
      <t>ハンバイビ</t>
    </rPh>
    <phoneticPr fontId="2"/>
  </si>
  <si>
    <t>合　計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</si>
  <si>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</si>
  <si>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</si>
  <si>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</si>
  <si>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</si>
  <si>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東ストア</t>
    <rPh sb="0" eb="1">
      <t>ヒガシ</t>
    </rPh>
    <phoneticPr fontId="2"/>
  </si>
  <si>
    <t>大月商事</t>
    <rPh sb="0" eb="2">
      <t>オオツキ</t>
    </rPh>
    <rPh sb="2" eb="4">
      <t>ショウジ</t>
    </rPh>
    <phoneticPr fontId="2"/>
  </si>
  <si>
    <t>加藤商店</t>
    <rPh sb="0" eb="2">
      <t>カトウ</t>
    </rPh>
    <rPh sb="2" eb="4">
      <t>ショウテン</t>
    </rPh>
    <phoneticPr fontId="2"/>
  </si>
  <si>
    <t>フジ総業</t>
    <rPh sb="2" eb="4">
      <t>ソウギョウ</t>
    </rPh>
    <phoneticPr fontId="3"/>
  </si>
  <si>
    <t>ＪＰ物産</t>
    <rPh sb="2" eb="4">
      <t>ブッサン</t>
    </rPh>
    <phoneticPr fontId="2"/>
  </si>
  <si>
    <t>期首在庫数</t>
    <rPh sb="0" eb="2">
      <t>キシュ</t>
    </rPh>
    <rPh sb="2" eb="5">
      <t>ザイコスウ</t>
    </rPh>
    <phoneticPr fontId="2"/>
  </si>
  <si>
    <t>期末在庫数</t>
    <rPh sb="0" eb="2">
      <t>キマツ</t>
    </rPh>
    <rPh sb="2" eb="5">
      <t>ザイコスウ</t>
    </rPh>
    <phoneticPr fontId="2"/>
  </si>
  <si>
    <t>在庫評価額</t>
    <rPh sb="0" eb="2">
      <t>ザイコ</t>
    </rPh>
    <rPh sb="2" eb="5">
      <t>ヒョウカガク</t>
    </rPh>
    <phoneticPr fontId="2"/>
  </si>
  <si>
    <t>仕入日</t>
    <rPh sb="0" eb="2">
      <t>シイレ</t>
    </rPh>
    <rPh sb="2" eb="3">
      <t>ビ</t>
    </rPh>
    <phoneticPr fontId="2"/>
  </si>
  <si>
    <t>仕入価額</t>
    <rPh sb="0" eb="2">
      <t>シイレ</t>
    </rPh>
    <rPh sb="2" eb="4">
      <t>カガク</t>
    </rPh>
    <phoneticPr fontId="2"/>
  </si>
  <si>
    <t>仕入諸掛</t>
    <rPh sb="0" eb="2">
      <t>シイレ</t>
    </rPh>
    <rPh sb="2" eb="4">
      <t>ショガカリ</t>
    </rPh>
    <phoneticPr fontId="2"/>
  </si>
  <si>
    <t>仕入額</t>
    <rPh sb="0" eb="3">
      <t>シイレガク</t>
    </rPh>
    <phoneticPr fontId="2"/>
  </si>
  <si>
    <t>＜乗率表＞</t>
    <rPh sb="1" eb="3">
      <t>ジョウリツ</t>
    </rPh>
    <rPh sb="3" eb="4">
      <t>ヒョウ</t>
    </rPh>
    <phoneticPr fontId="2"/>
  </si>
  <si>
    <t>【100点】</t>
    <rPh sb="4" eb="5">
      <t>テン</t>
    </rPh>
    <phoneticPr fontId="3"/>
  </si>
  <si>
    <t>グラフ【20点】</t>
    <rPh sb="6" eb="7">
      <t>テン</t>
    </rPh>
    <phoneticPr fontId="3"/>
  </si>
  <si>
    <t>販売先別計算表</t>
    <rPh sb="0" eb="1">
      <t>ハン</t>
    </rPh>
    <rPh sb="1" eb="2">
      <t>バイ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</si>
</sst>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5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0" fillId="0" borderId="0" xfId="0" applyNumberFormat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3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4" fillId="0" borderId="1" xfId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9" xfId="0" applyFont="1" applyBorder="1">
      <alignment vertical="center"/>
    </xf>
    <xf numFmtId="38" fontId="0" fillId="0" borderId="0" xfId="1" applyFont="1">
      <alignment vertical="center"/>
    </xf>
    <xf numFmtId="0" fontId="4" fillId="0" borderId="8" xfId="0" applyFont="1" applyBorder="1" applyAlignment="1">
      <alignment horizontal="center" vertical="center"/>
    </xf>
    <xf numFmtId="176" fontId="4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38" fontId="4" fillId="0" borderId="5" xfId="0" applyNumberFormat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4" xfId="0" applyNumberFormat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4" fillId="0" borderId="5" xfId="1" applyFont="1" applyFill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0" fillId="0" borderId="1" xfId="0" applyNumberFormat="1" applyBorder="1">
      <alignment vertical="center"/>
    </xf>
    <xf numFmtId="14" fontId="0" fillId="0" borderId="9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4" fillId="0" borderId="4" xfId="0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3" xfId="1" applyFont="1" applyFill="1" applyBorder="1">
      <alignment vertical="center"/>
    </xf>
    <xf numFmtId="3" fontId="0" fillId="0" borderId="1" xfId="1" applyNumberFormat="1" applyFont="1" applyFill="1" applyBorder="1">
      <alignment vertical="center"/>
    </xf>
    <xf numFmtId="14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4" fillId="0" borderId="0" xfId="4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5">
    <cellStyle name="パーセント 2" xfId="2" xr:uid="{00000000-0005-0000-0000-000000000000}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colors>
    <mruColors>
      <color rgb="FFCCFF33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9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計算表!$D$2</c:f>
              <c:strCache>
                <c:ptCount val="1"/>
                <c:pt idx="0">
                  <c:v>仕入額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計算表!$B$3:$B$8</c:f>
              <c:strCache>
                <c:ptCount val="6"/>
                <c:pt idx="0">
                  <c:v>商品Ａ</c:v>
                </c:pt>
                <c:pt idx="1">
                  <c:v>商品Ｂ</c:v>
                </c:pt>
                <c:pt idx="2">
                  <c:v>商品Ｃ</c:v>
                </c:pt>
                <c:pt idx="3">
                  <c:v>商品Ｄ</c:v>
                </c:pt>
                <c:pt idx="4">
                  <c:v>商品Ｅ</c:v>
                </c:pt>
                <c:pt idx="5">
                  <c:v>商品Ｆ</c:v>
                </c:pt>
              </c:strCache>
            </c:strRef>
          </c:cat>
          <c:val>
            <c:numRef>
              <c:f>計算表!$D$3:$D$8</c:f>
              <c:numCache>
                <c:formatCode>#,##0_);[Red]\(#,##0\)</c:formatCode>
                <c:ptCount val="6"/>
                <c:pt idx="0">
                  <c:v>728410</c:v>
                </c:pt>
                <c:pt idx="1">
                  <c:v>632100</c:v>
                </c:pt>
                <c:pt idx="2">
                  <c:v>595320</c:v>
                </c:pt>
                <c:pt idx="3">
                  <c:v>749450</c:v>
                </c:pt>
                <c:pt idx="4">
                  <c:v>640120</c:v>
                </c:pt>
                <c:pt idx="5">
                  <c:v>796780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C-4403-9AF7-A6ED0B929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76085096"/>
        <c:axId val="776086408"/>
      </c:barChart>
      <c:lineChart>
        <c:grouping val="standard"/>
        <c:varyColors val="0"/>
        <c:ser>
          <c:idx val="0"/>
          <c:order val="0"/>
          <c:tx>
            <c:strRef>
              <c:f>計算表!$C$2</c:f>
              <c:strCache>
                <c:ptCount val="1"/>
                <c:pt idx="0">
                  <c:v>仕入数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  <a:effectLst/>
            </c:spPr>
          </c:marker>
          <c:cat>
            <c:strRef>
              <c:f>計算表!$B$3:$B$8</c:f>
              <c:strCache>
                <c:ptCount val="6"/>
                <c:pt idx="0">
                  <c:v>商品Ａ</c:v>
                </c:pt>
                <c:pt idx="1">
                  <c:v>商品Ｂ</c:v>
                </c:pt>
                <c:pt idx="2">
                  <c:v>商品Ｃ</c:v>
                </c:pt>
                <c:pt idx="3">
                  <c:v>商品Ｄ</c:v>
                </c:pt>
                <c:pt idx="4">
                  <c:v>商品Ｅ</c:v>
                </c:pt>
                <c:pt idx="5">
                  <c:v>商品Ｆ</c:v>
                </c:pt>
              </c:strCache>
            </c:strRef>
          </c:cat>
          <c:val>
            <c:numRef>
              <c:f>計算表!$C$3:$C$8</c:f>
              <c:numCache>
                <c:formatCode>#,##0_);[Red]\(#,##0\)</c:formatCode>
                <c:ptCount val="6"/>
                <c:pt idx="0">
                  <c:v>533</c:v>
                </c:pt>
                <c:pt idx="1">
                  <c:v>567</c:v>
                </c:pt>
                <c:pt idx="2">
                  <c:v>523</c:v>
                </c:pt>
                <c:pt idx="3">
                  <c:v>500</c:v>
                </c:pt>
                <c:pt idx="4">
                  <c:v>584</c:v>
                </c:pt>
                <c:pt idx="5">
                  <c:v>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3C-4403-9AF7-A6ED0B929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63744"/>
        <c:axId val="354764400"/>
      </c:lineChart>
      <c:catAx>
        <c:axId val="35476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54764400"/>
        <c:crosses val="autoZero"/>
        <c:auto val="1"/>
        <c:lblAlgn val="ctr"/>
        <c:lblOffset val="100"/>
        <c:noMultiLvlLbl val="0"/>
      </c:catAx>
      <c:valAx>
        <c:axId val="354764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54763744"/>
        <c:crosses val="autoZero"/>
        <c:crossBetween val="between"/>
      </c:valAx>
      <c:valAx>
        <c:axId val="77608640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76085096"/>
        <c:crosses val="max"/>
        <c:crossBetween val="between"/>
      </c:valAx>
      <c:catAx>
        <c:axId val="776085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60864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733425</xdr:colOff>
      <xdr:row>15</xdr:row>
      <xdr:rowOff>109537</xdr:rowOff>
    </xdr:from>
    <xdr:to>
      <xdr:col>14</xdr:col>
      <xdr:colOff>757237</xdr:colOff>
      <xdr:row>31</xdr:row>
      <xdr:rowOff>109537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F7A839B-1063-1544-8C22-F9B4381793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仕入データ表" connectionId="1" xr16:uid="{9E2F2764-907A-4446-8F88-764B8D1BD16F}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3"/>
  <sheetViews>
    <sheetView tabSelected="1" workbookViewId="0"/>
  </sheetViews>
  <sheetFormatPr defaultRowHeight="13.5"/>
  <cols>
    <col min="1" max="1" width="7.5" bestFit="1" customWidth="1"/>
    <col min="2" max="4" width="5.5" bestFit="1" customWidth="1"/>
    <col min="6" max="6" width="7.5" bestFit="1" customWidth="1"/>
    <col min="7" max="7" width="9.5" bestFit="1" customWidth="1"/>
    <col min="9" max="9" width="7.5" customWidth="1"/>
    <col min="10" max="10" width="5.5" bestFit="1" customWidth="1"/>
    <col min="11" max="11" width="6.5" bestFit="1" customWidth="1"/>
    <col min="12" max="12" width="11.625" bestFit="1" customWidth="1"/>
    <col min="13" max="13" width="9" customWidth="1"/>
    <col min="14" max="14" width="5.5" bestFit="1" customWidth="1"/>
    <col min="15" max="15" width="7.5" bestFit="1" customWidth="1"/>
    <col min="16" max="16" width="9.125" customWidth="1"/>
    <col min="17" max="17" width="9.5" bestFit="1" customWidth="1"/>
    <col min="18" max="18" width="9.5" customWidth="1"/>
    <col min="19" max="19" width="5.125" customWidth="1"/>
    <col min="20" max="20" width="7.5" bestFit="1" customWidth="1"/>
    <col min="21" max="21" width="9.5" bestFit="1" customWidth="1"/>
    <col min="22" max="22" width="10.5" customWidth="1"/>
    <col min="24" max="24" width="10.5" bestFit="1" customWidth="1"/>
  </cols>
  <sheetData>
    <row r="1" spans="1:24">
      <c r="A1" t="s">
        <v>44</v>
      </c>
      <c r="F1" t="s">
        <v>14</v>
      </c>
      <c r="I1" t="s">
        <v>10</v>
      </c>
      <c r="N1" t="s">
        <v>24</v>
      </c>
    </row>
    <row r="2" spans="1:24">
      <c r="A2" s="48" t="s">
        <v>0</v>
      </c>
      <c r="B2" s="48" t="s">
        <v>21</v>
      </c>
      <c r="C2" s="48"/>
      <c r="D2" s="48"/>
      <c r="F2" s="7" t="s">
        <v>11</v>
      </c>
      <c r="G2" s="13" t="s">
        <v>15</v>
      </c>
      <c r="I2" s="7" t="s">
        <v>0</v>
      </c>
      <c r="J2" s="7" t="s">
        <v>17</v>
      </c>
      <c r="K2" s="13" t="s">
        <v>8</v>
      </c>
      <c r="L2" s="13" t="s">
        <v>37</v>
      </c>
      <c r="N2" s="7" t="s">
        <v>9</v>
      </c>
      <c r="O2" s="7" t="s">
        <v>25</v>
      </c>
    </row>
    <row r="3" spans="1:24">
      <c r="A3" s="48"/>
      <c r="B3" s="14">
        <v>1</v>
      </c>
      <c r="C3" s="14">
        <v>100</v>
      </c>
      <c r="D3" s="14">
        <v>150</v>
      </c>
      <c r="F3" s="14">
        <v>11</v>
      </c>
      <c r="G3" s="14" t="s">
        <v>36</v>
      </c>
      <c r="I3" s="6">
        <v>101</v>
      </c>
      <c r="J3" s="14" t="s">
        <v>28</v>
      </c>
      <c r="K3" s="18">
        <v>2290</v>
      </c>
      <c r="L3" s="18">
        <v>65</v>
      </c>
      <c r="N3" s="14">
        <v>1</v>
      </c>
      <c r="O3" s="23">
        <v>9.2999999999999999E-2</v>
      </c>
      <c r="X3" s="25"/>
    </row>
    <row r="4" spans="1:24">
      <c r="A4" s="6">
        <v>100</v>
      </c>
      <c r="B4" s="28">
        <v>7.1999999999999995E-2</v>
      </c>
      <c r="C4" s="28">
        <v>7.3999999999999996E-2</v>
      </c>
      <c r="D4" s="28">
        <v>7.5999999999999998E-2</v>
      </c>
      <c r="F4" s="14">
        <v>12</v>
      </c>
      <c r="G4" s="14" t="s">
        <v>33</v>
      </c>
      <c r="I4" s="6">
        <v>102</v>
      </c>
      <c r="J4" s="14" t="s">
        <v>29</v>
      </c>
      <c r="K4" s="18">
        <v>2560</v>
      </c>
      <c r="L4" s="18">
        <v>55</v>
      </c>
      <c r="N4" s="14">
        <v>2</v>
      </c>
      <c r="O4" s="23">
        <v>8.5000000000000006E-2</v>
      </c>
      <c r="X4" s="25"/>
    </row>
    <row r="5" spans="1:24">
      <c r="A5" s="6">
        <v>200</v>
      </c>
      <c r="B5" s="28">
        <v>5.8000000000000003E-2</v>
      </c>
      <c r="C5" s="28">
        <v>6.2E-2</v>
      </c>
      <c r="D5" s="28">
        <v>6.6000000000000003E-2</v>
      </c>
      <c r="F5" s="14">
        <v>13</v>
      </c>
      <c r="G5" s="14" t="s">
        <v>32</v>
      </c>
      <c r="I5" s="6">
        <v>103</v>
      </c>
      <c r="J5" s="14" t="s">
        <v>30</v>
      </c>
      <c r="K5" s="18">
        <v>1940</v>
      </c>
      <c r="L5" s="18">
        <v>69</v>
      </c>
      <c r="N5" s="14">
        <v>3</v>
      </c>
      <c r="O5" s="23">
        <v>7.6999999999999999E-2</v>
      </c>
      <c r="X5" s="25"/>
    </row>
    <row r="6" spans="1:24">
      <c r="F6" s="14">
        <v>21</v>
      </c>
      <c r="G6" s="14" t="s">
        <v>35</v>
      </c>
      <c r="I6" s="6">
        <v>201</v>
      </c>
      <c r="J6" s="14" t="s">
        <v>31</v>
      </c>
      <c r="K6" s="18">
        <v>1690</v>
      </c>
      <c r="L6" s="18">
        <v>67</v>
      </c>
      <c r="X6" s="25"/>
    </row>
    <row r="7" spans="1:24">
      <c r="F7" s="14">
        <v>22</v>
      </c>
      <c r="G7" s="14" t="s">
        <v>34</v>
      </c>
      <c r="I7" s="6">
        <v>202</v>
      </c>
      <c r="J7" s="14" t="s">
        <v>18</v>
      </c>
      <c r="K7" s="18">
        <v>3100</v>
      </c>
      <c r="L7" s="18">
        <v>46</v>
      </c>
    </row>
    <row r="8" spans="1:24">
      <c r="I8" s="6">
        <v>203</v>
      </c>
      <c r="J8" s="14" t="s">
        <v>19</v>
      </c>
      <c r="K8" s="18">
        <v>2480</v>
      </c>
      <c r="L8" s="18">
        <v>40</v>
      </c>
    </row>
    <row r="16" spans="1:24">
      <c r="Q16" s="20"/>
      <c r="R16" s="20"/>
    </row>
    <row r="17" spans="10:18">
      <c r="P17" s="27"/>
      <c r="Q17" s="27"/>
      <c r="R17" s="27"/>
    </row>
    <row r="18" spans="10:18">
      <c r="P18" s="27"/>
      <c r="Q18" s="27"/>
      <c r="R18" s="27"/>
    </row>
    <row r="19" spans="10:18">
      <c r="P19" s="27"/>
      <c r="Q19" s="27"/>
      <c r="R19" s="27"/>
    </row>
    <row r="23" spans="10:18">
      <c r="J23" t="s">
        <v>6</v>
      </c>
    </row>
  </sheetData>
  <sortState xmlns:xlrd2="http://schemas.microsoft.com/office/spreadsheetml/2017/richdata2" ref="V19:V21">
    <sortCondition ref="V19:V21"/>
  </sortState>
  <mergeCells count="2">
    <mergeCell ref="A2:A3"/>
    <mergeCell ref="B2:D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workbookViewId="0"/>
  </sheetViews>
  <sheetFormatPr defaultRowHeight="13.5"/>
  <cols>
    <col min="1" max="1" width="10.5" bestFit="1" customWidth="1"/>
    <col min="2" max="2" width="7.5" bestFit="1" customWidth="1"/>
    <col min="3" max="3" width="7.5" customWidth="1"/>
    <col min="4" max="5" width="9.5" bestFit="1" customWidth="1"/>
    <col min="6" max="6" width="8.5" bestFit="1" customWidth="1"/>
  </cols>
  <sheetData>
    <row r="1" spans="1:6">
      <c r="A1" s="3" t="s">
        <v>40</v>
      </c>
      <c r="B1" s="4" t="s">
        <v>0</v>
      </c>
      <c r="C1" s="4" t="s">
        <v>5</v>
      </c>
      <c r="D1" s="4" t="s">
        <v>41</v>
      </c>
      <c r="E1" s="17" t="s">
        <v>42</v>
      </c>
      <c r="F1" s="5" t="s">
        <v>43</v>
      </c>
    </row>
    <row r="2" spans="1:6">
      <c r="A2" s="39">
        <v>45661</v>
      </c>
      <c r="B2" s="21">
        <v>101</v>
      </c>
      <c r="C2" s="18">
        <v>166</v>
      </c>
      <c r="D2" s="21">
        <v>231680</v>
      </c>
      <c r="E2" s="40">
        <f>ROUNDUP(D2*INDEX(テーブル!$B$4:$D$5,MATCH(B2,テーブル!$A$4:$A$5,1),MATCH(C2,テーブル!$B$3:$D$3,1)),-2)</f>
        <v>17700</v>
      </c>
      <c r="F2" s="42">
        <f>D2+E2</f>
        <v>249380</v>
      </c>
    </row>
    <row r="3" spans="1:6">
      <c r="A3" s="39">
        <v>45661</v>
      </c>
      <c r="B3" s="21">
        <v>102</v>
      </c>
      <c r="C3" s="18">
        <v>183</v>
      </c>
      <c r="D3" s="21">
        <v>222250</v>
      </c>
      <c r="E3" s="40">
        <f>ROUNDUP(D3*INDEX(テーブル!$B$4:$D$5,MATCH(B3,テーブル!$A$4:$A$5,1),MATCH(C3,テーブル!$B$3:$D$3,1)),-2)</f>
        <v>16900</v>
      </c>
      <c r="F3" s="42">
        <f t="shared" ref="F3:F25" si="0">D3+E3</f>
        <v>239150</v>
      </c>
    </row>
    <row r="4" spans="1:6">
      <c r="A4" s="39">
        <v>45662</v>
      </c>
      <c r="B4" s="14">
        <v>103</v>
      </c>
      <c r="C4" s="18">
        <v>106</v>
      </c>
      <c r="D4" s="21">
        <v>149450</v>
      </c>
      <c r="E4" s="40">
        <f>ROUNDUP(D4*INDEX(テーブル!$B$4:$D$5,MATCH(B4,テーブル!$A$4:$A$5,1),MATCH(C4,テーブル!$B$3:$D$3,1)),-2)</f>
        <v>11100</v>
      </c>
      <c r="F4" s="42">
        <f t="shared" si="0"/>
        <v>160550</v>
      </c>
    </row>
    <row r="5" spans="1:6">
      <c r="A5" s="39">
        <v>45662</v>
      </c>
      <c r="B5" s="21">
        <v>201</v>
      </c>
      <c r="C5" s="18">
        <v>124</v>
      </c>
      <c r="D5" s="21">
        <v>170500</v>
      </c>
      <c r="E5" s="40">
        <f>ROUNDUP(D5*INDEX(テーブル!$B$4:$D$5,MATCH(B5,テーブル!$A$4:$A$5,1),MATCH(C5,テーブル!$B$3:$D$3,1)),-2)</f>
        <v>10600</v>
      </c>
      <c r="F5" s="42">
        <f t="shared" si="0"/>
        <v>181100</v>
      </c>
    </row>
    <row r="6" spans="1:6">
      <c r="A6" s="39">
        <v>45663</v>
      </c>
      <c r="B6" s="21">
        <v>202</v>
      </c>
      <c r="C6" s="18">
        <v>173</v>
      </c>
      <c r="D6" s="21">
        <v>212400</v>
      </c>
      <c r="E6" s="40">
        <f>ROUNDUP(D6*INDEX(テーブル!$B$4:$D$5,MATCH(B6,テーブル!$A$4:$A$5,1),MATCH(C6,テーブル!$B$3:$D$3,1)),-2)</f>
        <v>14100</v>
      </c>
      <c r="F6" s="42">
        <f t="shared" si="0"/>
        <v>226500</v>
      </c>
    </row>
    <row r="7" spans="1:6">
      <c r="A7" s="39">
        <v>45663</v>
      </c>
      <c r="B7" s="6">
        <v>203</v>
      </c>
      <c r="C7" s="18">
        <v>86</v>
      </c>
      <c r="D7" s="21">
        <v>88070</v>
      </c>
      <c r="E7" s="40">
        <f>ROUNDUP(D7*INDEX(テーブル!$B$4:$D$5,MATCH(B7,テーブル!$A$4:$A$5,1),MATCH(C7,テーブル!$B$3:$D$3,1)),-2)</f>
        <v>5200</v>
      </c>
      <c r="F7" s="42">
        <f t="shared" si="0"/>
        <v>93270</v>
      </c>
    </row>
    <row r="8" spans="1:6">
      <c r="A8" s="39">
        <v>45666</v>
      </c>
      <c r="B8" s="40">
        <v>101</v>
      </c>
      <c r="C8" s="18">
        <v>139</v>
      </c>
      <c r="D8" s="21">
        <v>182110</v>
      </c>
      <c r="E8" s="40">
        <f>ROUNDUP(D8*INDEX(テーブル!$B$4:$D$5,MATCH(B8,テーブル!$A$4:$A$5,1),MATCH(C8,テーブル!$B$3:$D$3,1)),-2)</f>
        <v>13500</v>
      </c>
      <c r="F8" s="42">
        <f t="shared" si="0"/>
        <v>195610</v>
      </c>
    </row>
    <row r="9" spans="1:6">
      <c r="A9" s="39">
        <v>45666</v>
      </c>
      <c r="B9" s="40">
        <v>102</v>
      </c>
      <c r="C9" s="18">
        <v>115</v>
      </c>
      <c r="D9" s="21">
        <v>85430</v>
      </c>
      <c r="E9" s="40">
        <f>ROUNDUP(D9*INDEX(テーブル!$B$4:$D$5,MATCH(B9,テーブル!$A$4:$A$5,1),MATCH(C9,テーブル!$B$3:$D$3,1)),-2)</f>
        <v>6400</v>
      </c>
      <c r="F9" s="42">
        <f t="shared" si="0"/>
        <v>91830</v>
      </c>
    </row>
    <row r="10" spans="1:6">
      <c r="A10" s="39">
        <v>45667</v>
      </c>
      <c r="B10" s="6">
        <v>103</v>
      </c>
      <c r="C10" s="18">
        <v>158</v>
      </c>
      <c r="D10" s="21">
        <v>170800</v>
      </c>
      <c r="E10" s="40">
        <f>ROUNDUP(D10*INDEX(テーブル!$B$4:$D$5,MATCH(B10,テーブル!$A$4:$A$5,1),MATCH(C10,テーブル!$B$3:$D$3,1)),-2)</f>
        <v>13000</v>
      </c>
      <c r="F10" s="42">
        <f t="shared" si="0"/>
        <v>183800</v>
      </c>
    </row>
    <row r="11" spans="1:6">
      <c r="A11" s="39">
        <v>45668</v>
      </c>
      <c r="B11" s="40">
        <v>201</v>
      </c>
      <c r="C11" s="18">
        <v>92</v>
      </c>
      <c r="D11" s="21">
        <v>127330</v>
      </c>
      <c r="E11" s="40">
        <f>ROUNDUP(D11*INDEX(テーブル!$B$4:$D$5,MATCH(B11,テーブル!$A$4:$A$5,1),MATCH(C11,テーブル!$B$3:$D$3,1)),-2)</f>
        <v>7400</v>
      </c>
      <c r="F11" s="42">
        <f t="shared" si="0"/>
        <v>134730</v>
      </c>
    </row>
    <row r="12" spans="1:6">
      <c r="A12" s="39">
        <v>45669</v>
      </c>
      <c r="B12" s="40">
        <v>202</v>
      </c>
      <c r="C12" s="18">
        <v>131</v>
      </c>
      <c r="D12" s="21">
        <v>99490</v>
      </c>
      <c r="E12" s="40">
        <f>ROUNDUP(D12*INDEX(テーブル!$B$4:$D$5,MATCH(B12,テーブル!$A$4:$A$5,1),MATCH(C12,テーブル!$B$3:$D$3,1)),-2)</f>
        <v>6200</v>
      </c>
      <c r="F12" s="42">
        <f t="shared" si="0"/>
        <v>105690</v>
      </c>
    </row>
    <row r="13" spans="1:6">
      <c r="A13" s="39">
        <v>45670</v>
      </c>
      <c r="B13" s="6">
        <v>101</v>
      </c>
      <c r="C13" s="18">
        <v>122</v>
      </c>
      <c r="D13" s="21">
        <v>142300</v>
      </c>
      <c r="E13" s="40">
        <f>ROUNDUP(D13*INDEX(テーブル!$B$4:$D$5,MATCH(B13,テーブル!$A$4:$A$5,1),MATCH(C13,テーブル!$B$3:$D$3,1)),-2)</f>
        <v>10600</v>
      </c>
      <c r="F13" s="42">
        <f t="shared" si="0"/>
        <v>152900</v>
      </c>
    </row>
    <row r="14" spans="1:6">
      <c r="A14" s="39">
        <v>45670</v>
      </c>
      <c r="B14" s="40">
        <v>203</v>
      </c>
      <c r="C14" s="18">
        <v>163</v>
      </c>
      <c r="D14" s="21">
        <v>287700</v>
      </c>
      <c r="E14" s="40">
        <f>ROUNDUP(D14*INDEX(テーブル!$B$4:$D$5,MATCH(B14,テーブル!$A$4:$A$5,1),MATCH(C14,テーブル!$B$3:$D$3,1)),-2)</f>
        <v>19000</v>
      </c>
      <c r="F14" s="42">
        <f t="shared" si="0"/>
        <v>306700</v>
      </c>
    </row>
    <row r="15" spans="1:6">
      <c r="A15" s="39">
        <v>45673</v>
      </c>
      <c r="B15" s="40">
        <v>102</v>
      </c>
      <c r="C15" s="18">
        <v>127</v>
      </c>
      <c r="D15" s="21">
        <v>119830</v>
      </c>
      <c r="E15" s="40">
        <f>ROUNDUP(D15*INDEX(テーブル!$B$4:$D$5,MATCH(B15,テーブル!$A$4:$A$5,1),MATCH(C15,テーブル!$B$3:$D$3,1)),-2)</f>
        <v>8900</v>
      </c>
      <c r="F15" s="42">
        <f t="shared" si="0"/>
        <v>128730</v>
      </c>
    </row>
    <row r="16" spans="1:6">
      <c r="A16" s="39">
        <v>45673</v>
      </c>
      <c r="B16" s="6">
        <v>103</v>
      </c>
      <c r="C16" s="18">
        <v>108</v>
      </c>
      <c r="D16" s="21">
        <v>92690</v>
      </c>
      <c r="E16" s="40">
        <f>ROUNDUP(D16*INDEX(テーブル!$B$4:$D$5,MATCH(B16,テーブル!$A$4:$A$5,1),MATCH(C16,テーブル!$B$3:$D$3,1)),-2)</f>
        <v>6900</v>
      </c>
      <c r="F16" s="42">
        <f t="shared" si="0"/>
        <v>99590</v>
      </c>
    </row>
    <row r="17" spans="1:7">
      <c r="A17" s="39">
        <v>45674</v>
      </c>
      <c r="B17" s="40">
        <v>201</v>
      </c>
      <c r="C17" s="18">
        <v>141</v>
      </c>
      <c r="D17" s="21">
        <v>194580</v>
      </c>
      <c r="E17" s="40">
        <f>ROUNDUP(D17*INDEX(テーブル!$B$4:$D$5,MATCH(B17,テーブル!$A$4:$A$5,1),MATCH(C17,テーブル!$B$3:$D$3,1)),-2)</f>
        <v>12100</v>
      </c>
      <c r="F17" s="42">
        <f t="shared" si="0"/>
        <v>206680</v>
      </c>
    </row>
    <row r="18" spans="1:7">
      <c r="A18" s="39">
        <v>45675</v>
      </c>
      <c r="B18" s="40">
        <v>202</v>
      </c>
      <c r="C18" s="18">
        <v>144</v>
      </c>
      <c r="D18" s="21">
        <v>158840</v>
      </c>
      <c r="E18" s="40">
        <f>ROUNDUP(D18*INDEX(テーブル!$B$4:$D$5,MATCH(B18,テーブル!$A$4:$A$5,1),MATCH(C18,テーブル!$B$3:$D$3,1)),-2)</f>
        <v>9900</v>
      </c>
      <c r="F18" s="42">
        <f t="shared" si="0"/>
        <v>168740</v>
      </c>
    </row>
    <row r="19" spans="1:7">
      <c r="A19" s="39">
        <v>45676</v>
      </c>
      <c r="B19" s="6">
        <v>101</v>
      </c>
      <c r="C19" s="18">
        <v>106</v>
      </c>
      <c r="D19" s="21">
        <v>121520</v>
      </c>
      <c r="E19" s="40">
        <f>ROUNDUP(D19*INDEX(テーブル!$B$4:$D$5,MATCH(B19,テーブル!$A$4:$A$5,1),MATCH(C19,テーブル!$B$3:$D$3,1)),-2)</f>
        <v>9000</v>
      </c>
      <c r="F19" s="42">
        <f t="shared" si="0"/>
        <v>130520</v>
      </c>
    </row>
    <row r="20" spans="1:7">
      <c r="A20" s="39">
        <v>45676</v>
      </c>
      <c r="B20" s="6">
        <v>203</v>
      </c>
      <c r="C20" s="18">
        <v>171</v>
      </c>
      <c r="D20" s="21">
        <v>261500</v>
      </c>
      <c r="E20" s="40">
        <f>ROUNDUP(D20*INDEX(テーブル!$B$4:$D$5,MATCH(B20,テーブル!$A$4:$A$5,1),MATCH(C20,テーブル!$B$3:$D$3,1)),-2)</f>
        <v>17300</v>
      </c>
      <c r="F20" s="42">
        <f t="shared" si="0"/>
        <v>278800</v>
      </c>
    </row>
    <row r="21" spans="1:7">
      <c r="A21" s="39">
        <v>45677</v>
      </c>
      <c r="B21" s="6">
        <v>102</v>
      </c>
      <c r="C21" s="18">
        <v>142</v>
      </c>
      <c r="D21" s="21">
        <v>160490</v>
      </c>
      <c r="E21" s="40">
        <f>ROUNDUP(D21*INDEX(テーブル!$B$4:$D$5,MATCH(B21,テーブル!$A$4:$A$5,1),MATCH(C21,テーブル!$B$3:$D$3,1)),-2)</f>
        <v>11900</v>
      </c>
      <c r="F21" s="42">
        <f t="shared" si="0"/>
        <v>172390</v>
      </c>
    </row>
    <row r="22" spans="1:7">
      <c r="A22" s="39">
        <v>45680</v>
      </c>
      <c r="B22" s="6">
        <v>103</v>
      </c>
      <c r="C22" s="18">
        <v>151</v>
      </c>
      <c r="D22" s="21">
        <v>140680</v>
      </c>
      <c r="E22" s="40">
        <f>ROUNDUP(D22*INDEX(テーブル!$B$4:$D$5,MATCH(B22,テーブル!$A$4:$A$5,1),MATCH(C22,テーブル!$B$3:$D$3,1)),-2)</f>
        <v>10700</v>
      </c>
      <c r="F22" s="42">
        <f t="shared" si="0"/>
        <v>151380</v>
      </c>
    </row>
    <row r="23" spans="1:7">
      <c r="A23" s="39">
        <v>45680</v>
      </c>
      <c r="B23" s="6">
        <v>201</v>
      </c>
      <c r="C23" s="18">
        <v>143</v>
      </c>
      <c r="D23" s="21">
        <v>213640</v>
      </c>
      <c r="E23" s="40">
        <f>ROUNDUP(D23*INDEX(テーブル!$B$4:$D$5,MATCH(B23,テーブル!$A$4:$A$5,1),MATCH(C23,テーブル!$B$3:$D$3,1)),-2)</f>
        <v>13300</v>
      </c>
      <c r="F23" s="42">
        <f t="shared" si="0"/>
        <v>226940</v>
      </c>
    </row>
    <row r="24" spans="1:7">
      <c r="A24" s="39">
        <v>45682</v>
      </c>
      <c r="B24" s="6">
        <v>202</v>
      </c>
      <c r="C24" s="18">
        <v>136</v>
      </c>
      <c r="D24" s="21">
        <v>130990</v>
      </c>
      <c r="E24" s="40">
        <f>ROUNDUP(D24*INDEX(テーブル!$B$4:$D$5,MATCH(B24,テーブル!$A$4:$A$5,1),MATCH(C24,テーブル!$B$3:$D$3,1)),-2)</f>
        <v>8200</v>
      </c>
      <c r="F24" s="42">
        <f t="shared" si="0"/>
        <v>139190</v>
      </c>
    </row>
    <row r="25" spans="1:7" ht="14.25" thickBot="1">
      <c r="A25" s="45">
        <v>45683</v>
      </c>
      <c r="B25" s="46">
        <v>203</v>
      </c>
      <c r="C25" s="19">
        <v>86</v>
      </c>
      <c r="D25" s="35">
        <v>111510</v>
      </c>
      <c r="E25" s="43">
        <f>ROUNDUP(D25*INDEX(テーブル!$B$4:$D$5,MATCH(B25,テーブル!$A$4:$A$5,1),MATCH(C25,テーブル!$B$3:$D$3,1)),-2)</f>
        <v>6500</v>
      </c>
      <c r="F25" s="12">
        <f t="shared" si="0"/>
        <v>118010</v>
      </c>
      <c r="G25" s="47" t="s">
        <v>45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workbookViewId="0"/>
  </sheetViews>
  <sheetFormatPr defaultRowHeight="13.5"/>
  <cols>
    <col min="1" max="1" width="10.5" bestFit="1" customWidth="1"/>
    <col min="2" max="2" width="7.5" bestFit="1" customWidth="1"/>
    <col min="3" max="3" width="9.5" bestFit="1" customWidth="1"/>
    <col min="4" max="4" width="7.5" customWidth="1"/>
    <col min="5" max="5" width="7.5" bestFit="1" customWidth="1"/>
    <col min="6" max="6" width="6.5" bestFit="1" customWidth="1"/>
    <col min="7" max="7" width="10.5" bestFit="1" customWidth="1"/>
  </cols>
  <sheetData>
    <row r="1" spans="1:6">
      <c r="A1" s="36" t="s">
        <v>26</v>
      </c>
      <c r="B1" s="17" t="s">
        <v>11</v>
      </c>
      <c r="C1" s="17" t="s">
        <v>12</v>
      </c>
      <c r="D1" s="17" t="s">
        <v>0</v>
      </c>
      <c r="E1" s="17" t="s">
        <v>13</v>
      </c>
      <c r="F1" s="26" t="s">
        <v>7</v>
      </c>
    </row>
    <row r="2" spans="1:6">
      <c r="A2" s="39">
        <v>45662</v>
      </c>
      <c r="B2" s="14">
        <v>22</v>
      </c>
      <c r="C2" s="14" t="str">
        <f>VLOOKUP(B2,テーブル!$F$3:$G$7,2,0)</f>
        <v>加藤商店</v>
      </c>
      <c r="D2" s="6">
        <v>103</v>
      </c>
      <c r="E2" s="6">
        <v>58</v>
      </c>
      <c r="F2" s="33">
        <f>ROUNDDOWN(VLOOKUP(D2,テーブル!$I$3:$L$8,3,0)*(1-VLOOKUP(MOD(B2,10),テーブル!$N$3:$O$5,2,0)),-1)</f>
        <v>1770</v>
      </c>
    </row>
    <row r="3" spans="1:6">
      <c r="A3" s="39">
        <v>45663</v>
      </c>
      <c r="B3" s="6">
        <v>11</v>
      </c>
      <c r="C3" s="14" t="str">
        <f>VLOOKUP(B3,テーブル!$F$3:$G$7,2,0)</f>
        <v>ＪＰ物産</v>
      </c>
      <c r="D3" s="6">
        <v>201</v>
      </c>
      <c r="E3" s="6">
        <v>109</v>
      </c>
      <c r="F3" s="33">
        <f>ROUNDDOWN(VLOOKUP(D3,テーブル!$I$3:$L$8,3,0)*(1-VLOOKUP(MOD(B3,10),テーブル!$N$3:$O$5,2,0)),-1)</f>
        <v>1530</v>
      </c>
    </row>
    <row r="4" spans="1:6">
      <c r="A4" s="39">
        <v>45664</v>
      </c>
      <c r="B4" s="6">
        <v>13</v>
      </c>
      <c r="C4" s="14" t="str">
        <f>VLOOKUP(B4,テーブル!$F$3:$G$7,2,0)</f>
        <v>東ストア</v>
      </c>
      <c r="D4" s="6">
        <v>102</v>
      </c>
      <c r="E4" s="6">
        <v>151</v>
      </c>
      <c r="F4" s="33">
        <f>ROUNDDOWN(VLOOKUP(D4,テーブル!$I$3:$L$8,3,0)*(1-VLOOKUP(MOD(B4,10),テーブル!$N$3:$O$5,2,0)),-1)</f>
        <v>2360</v>
      </c>
    </row>
    <row r="5" spans="1:6">
      <c r="A5" s="39">
        <v>45666</v>
      </c>
      <c r="B5" s="14">
        <v>12</v>
      </c>
      <c r="C5" s="14" t="str">
        <f>VLOOKUP(B5,テーブル!$F$3:$G$7,2,0)</f>
        <v>大月商事</v>
      </c>
      <c r="D5" s="6">
        <v>203</v>
      </c>
      <c r="E5" s="6">
        <v>52</v>
      </c>
      <c r="F5" s="33">
        <f>ROUNDDOWN(VLOOKUP(D5,テーブル!$I$3:$L$8,3,0)*(1-VLOOKUP(MOD(B5,10),テーブル!$N$3:$O$5,2,0)),-1)</f>
        <v>2260</v>
      </c>
    </row>
    <row r="6" spans="1:6">
      <c r="A6" s="39">
        <v>45668</v>
      </c>
      <c r="B6" s="6">
        <v>21</v>
      </c>
      <c r="C6" s="14" t="str">
        <f>VLOOKUP(B6,テーブル!$F$3:$G$7,2,0)</f>
        <v>フジ総業</v>
      </c>
      <c r="D6" s="6">
        <v>103</v>
      </c>
      <c r="E6" s="6">
        <v>49</v>
      </c>
      <c r="F6" s="33">
        <f>ROUNDDOWN(VLOOKUP(D6,テーブル!$I$3:$L$8,3,0)*(1-VLOOKUP(MOD(B6,10),テーブル!$N$3:$O$5,2,0)),-1)</f>
        <v>1750</v>
      </c>
    </row>
    <row r="7" spans="1:6">
      <c r="A7" s="39">
        <v>45669</v>
      </c>
      <c r="B7" s="6">
        <v>21</v>
      </c>
      <c r="C7" s="14" t="str">
        <f>VLOOKUP(B7,テーブル!$F$3:$G$7,2,0)</f>
        <v>フジ総業</v>
      </c>
      <c r="D7" s="6">
        <v>201</v>
      </c>
      <c r="E7" s="6">
        <v>134</v>
      </c>
      <c r="F7" s="33">
        <f>ROUNDDOWN(VLOOKUP(D7,テーブル!$I$3:$L$8,3,0)*(1-VLOOKUP(MOD(B7,10),テーブル!$N$3:$O$5,2,0)),-1)</f>
        <v>1530</v>
      </c>
    </row>
    <row r="8" spans="1:6">
      <c r="A8" s="39">
        <v>45670</v>
      </c>
      <c r="B8" s="14">
        <v>11</v>
      </c>
      <c r="C8" s="14" t="str">
        <f>VLOOKUP(B8,テーブル!$F$3:$G$7,2,0)</f>
        <v>ＪＰ物産</v>
      </c>
      <c r="D8" s="6">
        <v>202</v>
      </c>
      <c r="E8" s="6">
        <v>57</v>
      </c>
      <c r="F8" s="33">
        <f>ROUNDDOWN(VLOOKUP(D8,テーブル!$I$3:$L$8,3,0)*(1-VLOOKUP(MOD(B8,10),テーブル!$N$3:$O$5,2,0)),-1)</f>
        <v>2810</v>
      </c>
    </row>
    <row r="9" spans="1:6">
      <c r="A9" s="39">
        <v>45670</v>
      </c>
      <c r="B9" s="6">
        <v>22</v>
      </c>
      <c r="C9" s="14" t="str">
        <f>VLOOKUP(B9,テーブル!$F$3:$G$7,2,0)</f>
        <v>加藤商店</v>
      </c>
      <c r="D9" s="6">
        <v>103</v>
      </c>
      <c r="E9" s="6">
        <v>135</v>
      </c>
      <c r="F9" s="33">
        <f>ROUNDDOWN(VLOOKUP(D9,テーブル!$I$3:$L$8,3,0)*(1-VLOOKUP(MOD(B9,10),テーブル!$N$3:$O$5,2,0)),-1)</f>
        <v>1770</v>
      </c>
    </row>
    <row r="10" spans="1:6">
      <c r="A10" s="39">
        <v>45671</v>
      </c>
      <c r="B10" s="14">
        <v>22</v>
      </c>
      <c r="C10" s="14" t="str">
        <f>VLOOKUP(B10,テーブル!$F$3:$G$7,2,0)</f>
        <v>加藤商店</v>
      </c>
      <c r="D10" s="6">
        <v>102</v>
      </c>
      <c r="E10" s="6">
        <v>129</v>
      </c>
      <c r="F10" s="33">
        <f>ROUNDDOWN(VLOOKUP(D10,テーブル!$I$3:$L$8,3,0)*(1-VLOOKUP(MOD(B10,10),テーブル!$N$3:$O$5,2,0)),-1)</f>
        <v>2340</v>
      </c>
    </row>
    <row r="11" spans="1:6">
      <c r="A11" s="39">
        <v>45672</v>
      </c>
      <c r="B11" s="14">
        <v>13</v>
      </c>
      <c r="C11" s="14" t="str">
        <f>VLOOKUP(B11,テーブル!$F$3:$G$7,2,0)</f>
        <v>東ストア</v>
      </c>
      <c r="D11" s="6">
        <v>101</v>
      </c>
      <c r="E11" s="6">
        <v>95</v>
      </c>
      <c r="F11" s="33">
        <f>ROUNDDOWN(VLOOKUP(D11,テーブル!$I$3:$L$8,3,0)*(1-VLOOKUP(MOD(B11,10),テーブル!$N$3:$O$5,2,0)),-1)</f>
        <v>2110</v>
      </c>
    </row>
    <row r="12" spans="1:6">
      <c r="A12" s="39">
        <v>45673</v>
      </c>
      <c r="B12" s="14">
        <v>21</v>
      </c>
      <c r="C12" s="14" t="str">
        <f>VLOOKUP(B12,テーブル!$F$3:$G$7,2,0)</f>
        <v>フジ総業</v>
      </c>
      <c r="D12" s="6">
        <v>202</v>
      </c>
      <c r="E12" s="6">
        <v>94</v>
      </c>
      <c r="F12" s="33">
        <f>ROUNDDOWN(VLOOKUP(D12,テーブル!$I$3:$L$8,3,0)*(1-VLOOKUP(MOD(B12,10),テーブル!$N$3:$O$5,2,0)),-1)</f>
        <v>2810</v>
      </c>
    </row>
    <row r="13" spans="1:6">
      <c r="A13" s="39">
        <v>45674</v>
      </c>
      <c r="B13" s="14">
        <v>12</v>
      </c>
      <c r="C13" s="14" t="str">
        <f>VLOOKUP(B13,テーブル!$F$3:$G$7,2,0)</f>
        <v>大月商事</v>
      </c>
      <c r="D13" s="6">
        <v>203</v>
      </c>
      <c r="E13" s="6">
        <v>137</v>
      </c>
      <c r="F13" s="33">
        <f>ROUNDDOWN(VLOOKUP(D13,テーブル!$I$3:$L$8,3,0)*(1-VLOOKUP(MOD(B13,10),テーブル!$N$3:$O$5,2,0)),-1)</f>
        <v>2260</v>
      </c>
    </row>
    <row r="14" spans="1:6">
      <c r="A14" s="39">
        <v>45675</v>
      </c>
      <c r="B14" s="6">
        <v>11</v>
      </c>
      <c r="C14" s="14" t="str">
        <f>VLOOKUP(B14,テーブル!$F$3:$G$7,2,0)</f>
        <v>ＪＰ物産</v>
      </c>
      <c r="D14" s="6">
        <v>201</v>
      </c>
      <c r="E14" s="6">
        <v>79</v>
      </c>
      <c r="F14" s="33">
        <f>ROUNDDOWN(VLOOKUP(D14,テーブル!$I$3:$L$8,3,0)*(1-VLOOKUP(MOD(B14,10),テーブル!$N$3:$O$5,2,0)),-1)</f>
        <v>1530</v>
      </c>
    </row>
    <row r="15" spans="1:6">
      <c r="A15" s="39">
        <v>45675</v>
      </c>
      <c r="B15" s="14">
        <v>21</v>
      </c>
      <c r="C15" s="14" t="str">
        <f>VLOOKUP(B15,テーブル!$F$3:$G$7,2,0)</f>
        <v>フジ総業</v>
      </c>
      <c r="D15" s="6">
        <v>202</v>
      </c>
      <c r="E15" s="6">
        <v>129</v>
      </c>
      <c r="F15" s="33">
        <f>ROUNDDOWN(VLOOKUP(D15,テーブル!$I$3:$L$8,3,0)*(1-VLOOKUP(MOD(B15,10),テーブル!$N$3:$O$5,2,0)),-1)</f>
        <v>2810</v>
      </c>
    </row>
    <row r="16" spans="1:6">
      <c r="A16" s="39">
        <v>45676</v>
      </c>
      <c r="B16" s="14">
        <v>11</v>
      </c>
      <c r="C16" s="14" t="str">
        <f>VLOOKUP(B16,テーブル!$F$3:$G$7,2,0)</f>
        <v>ＪＰ物産</v>
      </c>
      <c r="D16" s="6">
        <v>102</v>
      </c>
      <c r="E16" s="6">
        <v>75</v>
      </c>
      <c r="F16" s="33">
        <f>ROUNDDOWN(VLOOKUP(D16,テーブル!$I$3:$L$8,3,0)*(1-VLOOKUP(MOD(B16,10),テーブル!$N$3:$O$5,2,0)),-1)</f>
        <v>2320</v>
      </c>
    </row>
    <row r="17" spans="1:6">
      <c r="A17" s="39">
        <v>45676</v>
      </c>
      <c r="B17" s="14">
        <v>22</v>
      </c>
      <c r="C17" s="14" t="str">
        <f>VLOOKUP(B17,テーブル!$F$3:$G$7,2,0)</f>
        <v>加藤商店</v>
      </c>
      <c r="D17" s="6">
        <v>203</v>
      </c>
      <c r="E17" s="6">
        <v>76</v>
      </c>
      <c r="F17" s="33">
        <f>ROUNDDOWN(VLOOKUP(D17,テーブル!$I$3:$L$8,3,0)*(1-VLOOKUP(MOD(B17,10),テーブル!$N$3:$O$5,2,0)),-1)</f>
        <v>2260</v>
      </c>
    </row>
    <row r="18" spans="1:6">
      <c r="A18" s="39">
        <v>45677</v>
      </c>
      <c r="B18" s="6">
        <v>11</v>
      </c>
      <c r="C18" s="14" t="str">
        <f>VLOOKUP(B18,テーブル!$F$3:$G$7,2,0)</f>
        <v>ＪＰ物産</v>
      </c>
      <c r="D18" s="6">
        <v>203</v>
      </c>
      <c r="E18" s="6">
        <v>91</v>
      </c>
      <c r="F18" s="33">
        <f>ROUNDDOWN(VLOOKUP(D18,テーブル!$I$3:$L$8,3,0)*(1-VLOOKUP(MOD(B18,10),テーブル!$N$3:$O$5,2,0)),-1)</f>
        <v>2240</v>
      </c>
    </row>
    <row r="19" spans="1:6">
      <c r="A19" s="39">
        <v>45678</v>
      </c>
      <c r="B19" s="14">
        <v>22</v>
      </c>
      <c r="C19" s="14" t="str">
        <f>VLOOKUP(B19,テーブル!$F$3:$G$7,2,0)</f>
        <v>加藤商店</v>
      </c>
      <c r="D19" s="6">
        <v>101</v>
      </c>
      <c r="E19" s="6">
        <v>136</v>
      </c>
      <c r="F19" s="33">
        <f>ROUNDDOWN(VLOOKUP(D19,テーブル!$I$3:$L$8,3,0)*(1-VLOOKUP(MOD(B19,10),テーブル!$N$3:$O$5,2,0)),-1)</f>
        <v>2090</v>
      </c>
    </row>
    <row r="20" spans="1:6">
      <c r="A20" s="39">
        <v>45679</v>
      </c>
      <c r="B20" s="14">
        <v>13</v>
      </c>
      <c r="C20" s="14" t="str">
        <f>VLOOKUP(B20,テーブル!$F$3:$G$7,2,0)</f>
        <v>東ストア</v>
      </c>
      <c r="D20" s="6">
        <v>202</v>
      </c>
      <c r="E20" s="6">
        <v>82</v>
      </c>
      <c r="F20" s="33">
        <f>ROUNDDOWN(VLOOKUP(D20,テーブル!$I$3:$L$8,3,0)*(1-VLOOKUP(MOD(B20,10),テーブル!$N$3:$O$5,2,0)),-1)</f>
        <v>2860</v>
      </c>
    </row>
    <row r="21" spans="1:6">
      <c r="A21" s="39">
        <v>45680</v>
      </c>
      <c r="B21" s="6">
        <v>13</v>
      </c>
      <c r="C21" s="14" t="str">
        <f>VLOOKUP(B21,テーブル!$F$3:$G$7,2,0)</f>
        <v>東ストア</v>
      </c>
      <c r="D21" s="6">
        <v>102</v>
      </c>
      <c r="E21" s="6">
        <v>85</v>
      </c>
      <c r="F21" s="33">
        <f>ROUNDDOWN(VLOOKUP(D21,テーブル!$I$3:$L$8,3,0)*(1-VLOOKUP(MOD(B21,10),テーブル!$N$3:$O$5,2,0)),-1)</f>
        <v>2360</v>
      </c>
    </row>
    <row r="22" spans="1:6">
      <c r="A22" s="39">
        <v>45681</v>
      </c>
      <c r="B22" s="14">
        <v>11</v>
      </c>
      <c r="C22" s="14" t="str">
        <f>VLOOKUP(B22,テーブル!$F$3:$G$7,2,0)</f>
        <v>ＪＰ物産</v>
      </c>
      <c r="D22" s="6">
        <v>201</v>
      </c>
      <c r="E22" s="6">
        <v>57</v>
      </c>
      <c r="F22" s="33">
        <f>ROUNDDOWN(VLOOKUP(D22,テーブル!$I$3:$L$8,3,0)*(1-VLOOKUP(MOD(B22,10),テーブル!$N$3:$O$5,2,0)),-1)</f>
        <v>1530</v>
      </c>
    </row>
    <row r="23" spans="1:6">
      <c r="A23" s="39">
        <v>45681</v>
      </c>
      <c r="B23" s="14">
        <v>21</v>
      </c>
      <c r="C23" s="14" t="str">
        <f>VLOOKUP(B23,テーブル!$F$3:$G$7,2,0)</f>
        <v>フジ総業</v>
      </c>
      <c r="D23" s="6">
        <v>103</v>
      </c>
      <c r="E23" s="6">
        <v>97</v>
      </c>
      <c r="F23" s="33">
        <f>ROUNDDOWN(VLOOKUP(D23,テーブル!$I$3:$L$8,3,0)*(1-VLOOKUP(MOD(B23,10),テーブル!$N$3:$O$5,2,0)),-1)</f>
        <v>1750</v>
      </c>
    </row>
    <row r="24" spans="1:6">
      <c r="A24" s="39">
        <v>45682</v>
      </c>
      <c r="B24" s="6">
        <v>12</v>
      </c>
      <c r="C24" s="14" t="str">
        <f>VLOOKUP(B24,テーブル!$F$3:$G$7,2,0)</f>
        <v>大月商事</v>
      </c>
      <c r="D24" s="6">
        <v>202</v>
      </c>
      <c r="E24" s="6">
        <v>143</v>
      </c>
      <c r="F24" s="33">
        <f>ROUNDDOWN(VLOOKUP(D24,テーブル!$I$3:$L$8,3,0)*(1-VLOOKUP(MOD(B24,10),テーブル!$N$3:$O$5,2,0)),-1)</f>
        <v>2830</v>
      </c>
    </row>
    <row r="25" spans="1:6">
      <c r="A25" s="39">
        <v>45682</v>
      </c>
      <c r="B25" s="14">
        <v>13</v>
      </c>
      <c r="C25" s="14" t="str">
        <f>VLOOKUP(B25,テーブル!$F$3:$G$7,2,0)</f>
        <v>東ストア</v>
      </c>
      <c r="D25" s="6">
        <v>101</v>
      </c>
      <c r="E25" s="6">
        <v>53</v>
      </c>
      <c r="F25" s="33">
        <f>ROUNDDOWN(VLOOKUP(D25,テーブル!$I$3:$L$8,3,0)*(1-VLOOKUP(MOD(B25,10),テーブル!$N$3:$O$5,2,0)),-1)</f>
        <v>2110</v>
      </c>
    </row>
    <row r="26" spans="1:6">
      <c r="A26" s="39">
        <v>45684</v>
      </c>
      <c r="B26" s="6">
        <v>12</v>
      </c>
      <c r="C26" s="14" t="str">
        <f>VLOOKUP(B26,テーブル!$F$3:$G$7,2,0)</f>
        <v>大月商事</v>
      </c>
      <c r="D26" s="6">
        <v>203</v>
      </c>
      <c r="E26" s="6">
        <v>60</v>
      </c>
      <c r="F26" s="33">
        <f>ROUNDDOWN(VLOOKUP(D26,テーブル!$I$3:$L$8,3,0)*(1-VLOOKUP(MOD(B26,10),テーブル!$N$3:$O$5,2,0)),-1)</f>
        <v>2260</v>
      </c>
    </row>
    <row r="27" spans="1:6">
      <c r="A27" s="39">
        <v>45685</v>
      </c>
      <c r="B27" s="14">
        <v>12</v>
      </c>
      <c r="C27" s="14" t="str">
        <f>VLOOKUP(B27,テーブル!$F$3:$G$7,2,0)</f>
        <v>大月商事</v>
      </c>
      <c r="D27" s="6">
        <v>201</v>
      </c>
      <c r="E27" s="6">
        <v>54</v>
      </c>
      <c r="F27" s="33">
        <f>ROUNDDOWN(VLOOKUP(D27,テーブル!$I$3:$L$8,3,0)*(1-VLOOKUP(MOD(B27,10),テーブル!$N$3:$O$5,2,0)),-1)</f>
        <v>1540</v>
      </c>
    </row>
    <row r="28" spans="1:6">
      <c r="A28" s="39">
        <v>45686</v>
      </c>
      <c r="B28" s="14">
        <v>22</v>
      </c>
      <c r="C28" s="14" t="str">
        <f>VLOOKUP(B28,テーブル!$F$3:$G$7,2,0)</f>
        <v>加藤商店</v>
      </c>
      <c r="D28" s="6">
        <v>101</v>
      </c>
      <c r="E28" s="6">
        <v>128</v>
      </c>
      <c r="F28" s="33">
        <f>ROUNDDOWN(VLOOKUP(D28,テーブル!$I$3:$L$8,3,0)*(1-VLOOKUP(MOD(B28,10),テーブル!$N$3:$O$5,2,0)),-1)</f>
        <v>2090</v>
      </c>
    </row>
    <row r="29" spans="1:6">
      <c r="A29" s="39">
        <v>45687</v>
      </c>
      <c r="B29" s="14">
        <v>13</v>
      </c>
      <c r="C29" s="14" t="str">
        <f>VLOOKUP(B29,テーブル!$F$3:$G$7,2,0)</f>
        <v>東ストア</v>
      </c>
      <c r="D29" s="6">
        <v>102</v>
      </c>
      <c r="E29" s="6">
        <v>62</v>
      </c>
      <c r="F29" s="33">
        <f>ROUNDDOWN(VLOOKUP(D29,テーブル!$I$3:$L$8,3,0)*(1-VLOOKUP(MOD(B29,10),テーブル!$N$3:$O$5,2,0)),-1)</f>
        <v>2360</v>
      </c>
    </row>
    <row r="30" spans="1:6">
      <c r="A30" s="39">
        <v>45688</v>
      </c>
      <c r="B30" s="14">
        <v>12</v>
      </c>
      <c r="C30" s="14" t="str">
        <f>VLOOKUP(B30,テーブル!$F$3:$G$7,2,0)</f>
        <v>大月商事</v>
      </c>
      <c r="D30" s="6">
        <v>103</v>
      </c>
      <c r="E30" s="6">
        <v>107</v>
      </c>
      <c r="F30" s="33">
        <f>ROUNDDOWN(VLOOKUP(D30,テーブル!$I$3:$L$8,3,0)*(1-VLOOKUP(MOD(B30,10),テーブル!$N$3:$O$5,2,0)),-1)</f>
        <v>1770</v>
      </c>
    </row>
    <row r="31" spans="1:6">
      <c r="A31" s="39">
        <v>45688</v>
      </c>
      <c r="B31" s="14">
        <v>21</v>
      </c>
      <c r="C31" s="14" t="str">
        <f>VLOOKUP(B31,テーブル!$F$3:$G$7,2,0)</f>
        <v>フジ総業</v>
      </c>
      <c r="D31" s="6">
        <v>101</v>
      </c>
      <c r="E31" s="6">
        <v>62</v>
      </c>
      <c r="F31" s="33">
        <f>ROUNDDOWN(VLOOKUP(D31,テーブル!$I$3:$L$8,3,0)*(1-VLOOKUP(MOD(B31,10),テーブル!$N$3:$O$5,2,0)),-1)</f>
        <v>2070</v>
      </c>
    </row>
    <row r="32" spans="1:6">
      <c r="A32" s="24"/>
      <c r="B32" s="14"/>
      <c r="C32" s="14"/>
      <c r="D32" s="14"/>
      <c r="E32" s="14"/>
      <c r="F32" s="30"/>
    </row>
    <row r="33" spans="1:7" ht="14.25" thickBot="1">
      <c r="A33" s="37"/>
      <c r="B33" s="34"/>
      <c r="C33" s="22" t="s">
        <v>27</v>
      </c>
      <c r="D33" s="22"/>
      <c r="E33" s="35">
        <f>SUM(E2:E31)</f>
        <v>2776</v>
      </c>
      <c r="F33" s="41"/>
      <c r="G33" s="47" t="s">
        <v>45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2"/>
  <sheetViews>
    <sheetView zoomScaleNormal="100" workbookViewId="0">
      <selection sqref="A1:H1"/>
    </sheetView>
  </sheetViews>
  <sheetFormatPr defaultRowHeight="13.5"/>
  <cols>
    <col min="1" max="1" width="7.5" customWidth="1"/>
    <col min="2" max="3" width="7.5" bestFit="1" customWidth="1"/>
    <col min="4" max="4" width="10.5" bestFit="1" customWidth="1"/>
    <col min="5" max="5" width="7.5" bestFit="1" customWidth="1"/>
    <col min="6" max="7" width="11.625" bestFit="1" customWidth="1"/>
    <col min="8" max="8" width="5.5" bestFit="1" customWidth="1"/>
    <col min="9" max="9" width="10.5" bestFit="1" customWidth="1"/>
    <col min="10" max="10" width="7.5" bestFit="1" customWidth="1"/>
    <col min="11" max="11" width="9.5" bestFit="1" customWidth="1"/>
    <col min="12" max="12" width="10.5" bestFit="1" customWidth="1"/>
    <col min="13" max="13" width="7.5" bestFit="1" customWidth="1"/>
    <col min="14" max="15" width="10.5" bestFit="1" customWidth="1"/>
    <col min="16" max="16" width="16.125" bestFit="1" customWidth="1"/>
  </cols>
  <sheetData>
    <row r="1" spans="1:15" ht="14.25" thickBot="1">
      <c r="A1" s="49" t="s">
        <v>23</v>
      </c>
      <c r="B1" s="49"/>
      <c r="C1" s="49"/>
      <c r="D1" s="49"/>
      <c r="E1" s="49"/>
      <c r="F1" s="49"/>
      <c r="G1" s="49"/>
      <c r="H1" s="49"/>
      <c r="J1" s="49" t="s">
        <v>47</v>
      </c>
      <c r="K1" s="49"/>
      <c r="L1" s="49"/>
      <c r="M1" s="49"/>
      <c r="N1" s="49"/>
    </row>
    <row r="2" spans="1:15">
      <c r="A2" s="3" t="s">
        <v>0</v>
      </c>
      <c r="B2" s="4" t="s">
        <v>1</v>
      </c>
      <c r="C2" s="4" t="s">
        <v>5</v>
      </c>
      <c r="D2" s="4" t="s">
        <v>20</v>
      </c>
      <c r="E2" s="4" t="s">
        <v>13</v>
      </c>
      <c r="F2" s="4" t="s">
        <v>38</v>
      </c>
      <c r="G2" s="4" t="s">
        <v>39</v>
      </c>
      <c r="H2" s="5" t="s">
        <v>22</v>
      </c>
      <c r="J2" s="36" t="s">
        <v>11</v>
      </c>
      <c r="K2" s="17" t="s">
        <v>15</v>
      </c>
      <c r="L2" s="17" t="s">
        <v>16</v>
      </c>
      <c r="M2" s="17" t="s">
        <v>2</v>
      </c>
      <c r="N2" s="26" t="s">
        <v>3</v>
      </c>
    </row>
    <row r="3" spans="1:15">
      <c r="A3" s="8">
        <v>101</v>
      </c>
      <c r="B3" s="6" t="str">
        <f>"商品"&amp;VLOOKUP(A3,テーブル!$I$3:$L$8,2,0)</f>
        <v>商品Ａ</v>
      </c>
      <c r="C3" s="38">
        <f>SUMIF(仕入データ表!$B$2:$B$25,A3,仕入データ表!$C$2:$C$25)</f>
        <v>533</v>
      </c>
      <c r="D3" s="38">
        <f>SUMIF(仕入データ表!$B$2:$B$25,A3,仕入データ表!$F$2:$F$25)</f>
        <v>728410</v>
      </c>
      <c r="E3" s="1">
        <f>SUMIF(販売データ表!$D$2:$D$31,A3,販売データ表!$E$2:$E$31)</f>
        <v>474</v>
      </c>
      <c r="F3" s="21">
        <f>VLOOKUP(A3,テーブル!$I$3:$L$8,4,0)+C3-E3</f>
        <v>124</v>
      </c>
      <c r="G3" s="44">
        <f>ROUNDDOWN(D3/C3*F3,0)</f>
        <v>169461</v>
      </c>
      <c r="H3" s="32" t="str">
        <f>IF(G3&gt;=AVERAGE($G$3:$G$8),"＊","")</f>
        <v>＊</v>
      </c>
      <c r="J3" s="24">
        <v>11</v>
      </c>
      <c r="K3" s="14" t="str">
        <f>VLOOKUP(J3,テーブル!$F$3:$G$7,2,0)</f>
        <v>ＪＰ物産</v>
      </c>
      <c r="L3" s="15">
        <f>SUMPRODUCT((販売データ表!$B$2:$B$31=J3)*1,販売データ表!$F$2:$F$31,販売データ表!$E$2:$E$31)</f>
        <v>912860</v>
      </c>
      <c r="M3" s="15">
        <f>ROUND(IF(L3&gt;=1250000,L3*1.7%,L3*1.4%),-1)</f>
        <v>12780</v>
      </c>
      <c r="N3" s="29">
        <f>L3+M3</f>
        <v>925640</v>
      </c>
    </row>
    <row r="4" spans="1:15">
      <c r="A4" s="8">
        <v>102</v>
      </c>
      <c r="B4" s="6" t="str">
        <f>"商品"&amp;VLOOKUP(A4,テーブル!$I$3:$L$8,2,0)</f>
        <v>商品Ｂ</v>
      </c>
      <c r="C4" s="38">
        <f>SUMIF(仕入データ表!$B$2:$B$25,A4,仕入データ表!$C$2:$C$25)</f>
        <v>567</v>
      </c>
      <c r="D4" s="38">
        <f>SUMIF(仕入データ表!$B$2:$B$25,A4,仕入データ表!$F$2:$F$25)</f>
        <v>632100</v>
      </c>
      <c r="E4" s="1">
        <f>SUMIF(販売データ表!$D$2:$D$31,A4,販売データ表!$E$2:$E$31)</f>
        <v>502</v>
      </c>
      <c r="F4" s="21">
        <f>VLOOKUP(A4,テーブル!$I$3:$L$8,4,0)+C4-E4</f>
        <v>120</v>
      </c>
      <c r="G4" s="44">
        <f>ROUNDDOWN(D4/C4*F4,0)</f>
        <v>133777</v>
      </c>
      <c r="H4" s="32" t="str">
        <f t="shared" ref="H4:H8" si="0">IF(G4&gt;=AVERAGE($G$3:$G$8),"＊","")</f>
        <v/>
      </c>
      <c r="J4" s="24">
        <v>12</v>
      </c>
      <c r="K4" s="14" t="str">
        <f>VLOOKUP(J4,テーブル!$F$3:$G$7,2,0)</f>
        <v>大月商事</v>
      </c>
      <c r="L4" s="15">
        <f>SUMPRODUCT((販売データ表!$B$2:$B$31=J4)*1,販売データ表!$F$2:$F$31,販売データ表!$E$2:$E$31)</f>
        <v>1239980</v>
      </c>
      <c r="M4" s="15">
        <f>ROUND(IF(L4&gt;=1250000,L4*1.7%,L4*1.4%),-1)</f>
        <v>17360</v>
      </c>
      <c r="N4" s="29">
        <f>L4+M4</f>
        <v>1257340</v>
      </c>
    </row>
    <row r="5" spans="1:15">
      <c r="A5" s="8">
        <v>103</v>
      </c>
      <c r="B5" s="6" t="str">
        <f>"商品"&amp;VLOOKUP(A5,テーブル!$I$3:$L$8,2,0)</f>
        <v>商品Ｃ</v>
      </c>
      <c r="C5" s="38">
        <f>SUMIF(仕入データ表!$B$2:$B$25,A5,仕入データ表!$C$2:$C$25)</f>
        <v>523</v>
      </c>
      <c r="D5" s="38">
        <f>SUMIF(仕入データ表!$B$2:$B$25,A5,仕入データ表!$F$2:$F$25)</f>
        <v>595320</v>
      </c>
      <c r="E5" s="1">
        <f>SUMIF(販売データ表!$D$2:$D$31,A5,販売データ表!$E$2:$E$31)</f>
        <v>446</v>
      </c>
      <c r="F5" s="21">
        <f>VLOOKUP(A5,テーブル!$I$3:$L$8,4,0)+C5-E5</f>
        <v>146</v>
      </c>
      <c r="G5" s="44">
        <f t="shared" ref="G5:G8" si="1">ROUNDDOWN(D5/C5*F5,0)</f>
        <v>166188</v>
      </c>
      <c r="H5" s="32" t="str">
        <f t="shared" si="0"/>
        <v/>
      </c>
      <c r="J5" s="24">
        <v>13</v>
      </c>
      <c r="K5" s="14" t="str">
        <f>VLOOKUP(J5,テーブル!$F$3:$G$7,2,0)</f>
        <v>東ストア</v>
      </c>
      <c r="L5" s="15">
        <f>SUMPRODUCT((販売データ表!$B$2:$B$31=J5)*1,販売データ表!$F$2:$F$31,販売データ表!$E$2:$E$31)</f>
        <v>1250080</v>
      </c>
      <c r="M5" s="15">
        <f>ROUND(IF(L5&gt;=1250000,L5*1.7%,L5*1.4%),-1)</f>
        <v>21250</v>
      </c>
      <c r="N5" s="29">
        <f>L5+M5</f>
        <v>1271330</v>
      </c>
    </row>
    <row r="6" spans="1:15">
      <c r="A6" s="8">
        <v>201</v>
      </c>
      <c r="B6" s="6" t="str">
        <f>"商品"&amp;VLOOKUP(A6,テーブル!$I$3:$L$8,2,0)</f>
        <v>商品Ｄ</v>
      </c>
      <c r="C6" s="38">
        <f>SUMIF(仕入データ表!$B$2:$B$25,A6,仕入データ表!$C$2:$C$25)</f>
        <v>500</v>
      </c>
      <c r="D6" s="38">
        <f>SUMIF(仕入データ表!$B$2:$B$25,A6,仕入データ表!$F$2:$F$25)</f>
        <v>749450</v>
      </c>
      <c r="E6" s="1">
        <f>SUMIF(販売データ表!$D$2:$D$31,A6,販売データ表!$E$2:$E$31)</f>
        <v>433</v>
      </c>
      <c r="F6" s="21">
        <f>VLOOKUP(A6,テーブル!$I$3:$L$8,4,0)+C6-E6</f>
        <v>134</v>
      </c>
      <c r="G6" s="44">
        <f t="shared" si="1"/>
        <v>200852</v>
      </c>
      <c r="H6" s="32" t="str">
        <f t="shared" si="0"/>
        <v>＊</v>
      </c>
      <c r="J6" s="24">
        <v>21</v>
      </c>
      <c r="K6" s="14" t="str">
        <f>VLOOKUP(J6,テーブル!$F$3:$G$7,2,0)</f>
        <v>フジ総業</v>
      </c>
      <c r="L6" s="15">
        <f>SUMPRODUCT((販売データ表!$B$2:$B$31=J6)*1,販売データ表!$F$2:$F$31,販売データ表!$E$2:$E$31)</f>
        <v>1215490</v>
      </c>
      <c r="M6" s="15">
        <f>ROUND(IF(L6&gt;=1250000,L6*1.7%,L6*1.4%),-1)</f>
        <v>17020</v>
      </c>
      <c r="N6" s="29">
        <f>L6+M6</f>
        <v>1232510</v>
      </c>
    </row>
    <row r="7" spans="1:15">
      <c r="A7" s="8">
        <v>202</v>
      </c>
      <c r="B7" s="6" t="str">
        <f>"商品"&amp;VLOOKUP(A7,テーブル!$I$3:$L$8,2,0)</f>
        <v>商品Ｅ</v>
      </c>
      <c r="C7" s="38">
        <f>SUMIF(仕入データ表!$B$2:$B$25,A7,仕入データ表!$C$2:$C$25)</f>
        <v>584</v>
      </c>
      <c r="D7" s="38">
        <f>SUMIF(仕入データ表!$B$2:$B$25,A7,仕入データ表!$F$2:$F$25)</f>
        <v>640120</v>
      </c>
      <c r="E7" s="1">
        <f>SUMIF(販売データ表!$D$2:$D$31,A7,販売データ表!$E$2:$E$31)</f>
        <v>505</v>
      </c>
      <c r="F7" s="21">
        <f>VLOOKUP(A7,テーブル!$I$3:$L$8,4,0)+C7-E7</f>
        <v>125</v>
      </c>
      <c r="G7" s="44">
        <f t="shared" si="1"/>
        <v>137011</v>
      </c>
      <c r="H7" s="32" t="str">
        <f t="shared" si="0"/>
        <v/>
      </c>
      <c r="J7" s="24">
        <v>22</v>
      </c>
      <c r="K7" s="14" t="str">
        <f>VLOOKUP(J7,テーブル!$F$3:$G$7,2,0)</f>
        <v>加藤商店</v>
      </c>
      <c r="L7" s="15">
        <f>SUMPRODUCT((販売データ表!$B$2:$B$31=J7)*1,販売データ表!$F$2:$F$31,販売データ表!$E$2:$E$31)</f>
        <v>1366990</v>
      </c>
      <c r="M7" s="15">
        <f>ROUND(IF(L7&gt;=1250000,L7*1.7%,L7*1.4%),-1)</f>
        <v>23240</v>
      </c>
      <c r="N7" s="29">
        <f>L7+M7</f>
        <v>1390230</v>
      </c>
    </row>
    <row r="8" spans="1:15">
      <c r="A8" s="8">
        <v>203</v>
      </c>
      <c r="B8" s="6" t="str">
        <f>"商品"&amp;VLOOKUP(A8,テーブル!$I$3:$L$8,2,0)</f>
        <v>商品Ｆ</v>
      </c>
      <c r="C8" s="38">
        <f>SUMIF(仕入データ表!$B$2:$B$25,A8,仕入データ表!$C$2:$C$25)</f>
        <v>506</v>
      </c>
      <c r="D8" s="38">
        <f>SUMIF(仕入データ表!$B$2:$B$25,A8,仕入データ表!$F$2:$F$25)</f>
        <v>796780</v>
      </c>
      <c r="E8" s="1">
        <f>SUMIF(販売データ表!$D$2:$D$31,A8,販売データ表!$E$2:$E$31)</f>
        <v>416</v>
      </c>
      <c r="F8" s="21">
        <f>VLOOKUP(A8,テーブル!$I$3:$L$8,4,0)+C8-E8</f>
        <v>130</v>
      </c>
      <c r="G8" s="44">
        <f t="shared" si="1"/>
        <v>204706</v>
      </c>
      <c r="H8" s="32" t="str">
        <f t="shared" si="0"/>
        <v>＊</v>
      </c>
      <c r="J8" s="8"/>
      <c r="K8" s="14"/>
      <c r="L8" s="14"/>
      <c r="M8" s="14"/>
      <c r="N8" s="30"/>
    </row>
    <row r="9" spans="1:15" ht="14.25" thickBot="1">
      <c r="A9" s="8"/>
      <c r="B9" s="6"/>
      <c r="C9" s="1"/>
      <c r="D9" s="1"/>
      <c r="E9" s="1"/>
      <c r="F9" s="1"/>
      <c r="G9" s="1"/>
      <c r="H9" s="2"/>
      <c r="J9" s="10"/>
      <c r="K9" s="22" t="s">
        <v>4</v>
      </c>
      <c r="L9" s="19">
        <f t="shared" ref="L9:N9" si="2">SUM(L3:L7)</f>
        <v>5985400</v>
      </c>
      <c r="M9" s="19">
        <f t="shared" si="2"/>
        <v>91650</v>
      </c>
      <c r="N9" s="31">
        <f t="shared" si="2"/>
        <v>6077050</v>
      </c>
      <c r="O9" s="47" t="s">
        <v>45</v>
      </c>
    </row>
    <row r="10" spans="1:15" ht="14.25" thickBot="1">
      <c r="A10" s="10"/>
      <c r="B10" s="11" t="s">
        <v>4</v>
      </c>
      <c r="C10" s="9">
        <f>SUM(C3:C8)</f>
        <v>3213</v>
      </c>
      <c r="D10" s="9">
        <f>SUM(D3:D8)</f>
        <v>4142180</v>
      </c>
      <c r="E10" s="9">
        <f>SUM(E3:E8)</f>
        <v>2776</v>
      </c>
      <c r="F10" s="9">
        <f>SUM(F3:F8)</f>
        <v>779</v>
      </c>
      <c r="G10" s="9">
        <f>SUM(G3:G8)</f>
        <v>1011995</v>
      </c>
      <c r="H10" s="12"/>
      <c r="I10" s="47" t="s">
        <v>45</v>
      </c>
    </row>
    <row r="11" spans="1:15">
      <c r="F11" s="16"/>
    </row>
    <row r="12" spans="1:15">
      <c r="A12" s="20"/>
      <c r="B12" s="20"/>
      <c r="H12" s="20"/>
    </row>
    <row r="14" spans="1:15">
      <c r="A14" s="20"/>
    </row>
    <row r="32" spans="16:16">
      <c r="P32" s="47" t="s">
        <v>46</v>
      </c>
    </row>
  </sheetData>
  <sortState xmlns:xlrd2="http://schemas.microsoft.com/office/spreadsheetml/2017/richdata2" ref="J3:N7">
    <sortCondition ref="J3:J7"/>
  </sortState>
  <mergeCells count="2">
    <mergeCell ref="A1:H1"/>
    <mergeCell ref="J1:N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テーブル</vt:lpstr>
      <vt:lpstr>仕入データ表</vt:lpstr>
      <vt:lpstr>販売データ表</vt:lpstr>
      <vt:lpstr>計算表</vt:lpstr>
      <vt:lpstr>仕入データ表!仕入データ表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2022-07-26T21:34:21Z</cp:lastPrinted>
  <dcterms:created xsi:type="dcterms:W3CDTF">2012-09-27T07:48:12Z</dcterms:created>
  <dcterms:modified xsi:type="dcterms:W3CDTF">2024-11-18T04:00:02Z</dcterms:modified>
</cp:coreProperties>
</file>