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1_検定問題\2024(令和06)年度\令和06年12月\1表計算\SPS_202412\"/>
    </mc:Choice>
  </mc:AlternateContent>
  <xr:revisionPtr revIDLastSave="0" documentId="13_ncr:1_{CA7D0B56-B17B-406F-878B-4D3ABA5792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テーブル" sheetId="1" r:id="rId1"/>
    <sheet name="Ａ商品" sheetId="7" r:id="rId2"/>
    <sheet name="Ｂ商品" sheetId="12" r:id="rId3"/>
    <sheet name="C商品" sheetId="13" r:id="rId4"/>
    <sheet name="計算表" sheetId="5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5" l="1"/>
  <c r="K6" i="5"/>
  <c r="K7" i="5"/>
  <c r="K8" i="5"/>
  <c r="K4" i="5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D3" i="7"/>
  <c r="E3" i="7" s="1"/>
  <c r="D4" i="7"/>
  <c r="E4" i="7" s="1"/>
  <c r="D5" i="7"/>
  <c r="E5" i="7" s="1"/>
  <c r="D6" i="7"/>
  <c r="E6" i="7" s="1"/>
  <c r="D7" i="7"/>
  <c r="E7" i="7" s="1"/>
  <c r="D8" i="7"/>
  <c r="E8" i="7" s="1"/>
  <c r="D9" i="7"/>
  <c r="E9" i="7" s="1"/>
  <c r="D10" i="7"/>
  <c r="E10" i="7" s="1"/>
  <c r="D11" i="7"/>
  <c r="E11" i="7" s="1"/>
  <c r="D12" i="7"/>
  <c r="E12" i="7" s="1"/>
  <c r="D13" i="7"/>
  <c r="E13" i="7" s="1"/>
  <c r="D14" i="7"/>
  <c r="E14" i="7" s="1"/>
  <c r="D15" i="7"/>
  <c r="E15" i="7" s="1"/>
  <c r="D16" i="7"/>
  <c r="E16" i="7" s="1"/>
  <c r="D17" i="7"/>
  <c r="E17" i="7" s="1"/>
  <c r="D18" i="7"/>
  <c r="E18" i="7" s="1"/>
  <c r="D19" i="7"/>
  <c r="E19" i="7" s="1"/>
  <c r="D20" i="7"/>
  <c r="E20" i="7" s="1"/>
  <c r="D21" i="7"/>
  <c r="E21" i="7" s="1"/>
  <c r="D22" i="7"/>
  <c r="E22" i="7" s="1"/>
  <c r="D23" i="7"/>
  <c r="E23" i="7" s="1"/>
  <c r="D24" i="7"/>
  <c r="E24" i="7" s="1"/>
  <c r="D25" i="7"/>
  <c r="E25" i="7" s="1"/>
  <c r="D26" i="7"/>
  <c r="E26" i="7" s="1"/>
  <c r="D3" i="13"/>
  <c r="D4" i="13"/>
  <c r="D5" i="13"/>
  <c r="E5" i="13" s="1"/>
  <c r="D6" i="13"/>
  <c r="D7" i="13"/>
  <c r="D8" i="13"/>
  <c r="E8" i="13" s="1"/>
  <c r="D9" i="13"/>
  <c r="D10" i="13"/>
  <c r="D11" i="13"/>
  <c r="E11" i="13" s="1"/>
  <c r="D12" i="13"/>
  <c r="D13" i="13"/>
  <c r="D14" i="13"/>
  <c r="E14" i="13" s="1"/>
  <c r="D15" i="13"/>
  <c r="D16" i="13"/>
  <c r="D17" i="13"/>
  <c r="E17" i="13" s="1"/>
  <c r="D18" i="13"/>
  <c r="D19" i="13"/>
  <c r="D20" i="13"/>
  <c r="E20" i="13" s="1"/>
  <c r="D21" i="13"/>
  <c r="D22" i="13"/>
  <c r="D23" i="13"/>
  <c r="E23" i="13" s="1"/>
  <c r="D24" i="13"/>
  <c r="D25" i="13"/>
  <c r="E25" i="13" s="1"/>
  <c r="D26" i="13"/>
  <c r="E26" i="13" s="1"/>
  <c r="D2" i="13"/>
  <c r="E2" i="13" s="1"/>
  <c r="D3" i="12"/>
  <c r="D4" i="12"/>
  <c r="D5" i="12"/>
  <c r="D6" i="12"/>
  <c r="E6" i="12" s="1"/>
  <c r="D7" i="12"/>
  <c r="D8" i="12"/>
  <c r="D9" i="12"/>
  <c r="D10" i="12"/>
  <c r="D11" i="12"/>
  <c r="D12" i="12"/>
  <c r="D13" i="12"/>
  <c r="E13" i="12" s="1"/>
  <c r="D14" i="12"/>
  <c r="D15" i="12"/>
  <c r="E15" i="12" s="1"/>
  <c r="D16" i="12"/>
  <c r="D17" i="12"/>
  <c r="E17" i="12" s="1"/>
  <c r="D18" i="12"/>
  <c r="E18" i="12" s="1"/>
  <c r="D19" i="12"/>
  <c r="D20" i="12"/>
  <c r="D21" i="12"/>
  <c r="D22" i="12"/>
  <c r="D23" i="12"/>
  <c r="D24" i="12"/>
  <c r="E24" i="12" s="1"/>
  <c r="D25" i="12"/>
  <c r="D26" i="12"/>
  <c r="D2" i="12"/>
  <c r="D2" i="7"/>
  <c r="E2" i="7" s="1"/>
  <c r="F3" i="13"/>
  <c r="F4" i="13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" i="13"/>
  <c r="F3" i="12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" i="12"/>
  <c r="F2" i="7"/>
  <c r="E24" i="13"/>
  <c r="E22" i="13"/>
  <c r="E21" i="13"/>
  <c r="E19" i="13"/>
  <c r="E18" i="13"/>
  <c r="E16" i="13"/>
  <c r="E15" i="13"/>
  <c r="E13" i="13"/>
  <c r="E12" i="13"/>
  <c r="E10" i="13"/>
  <c r="E9" i="13"/>
  <c r="E7" i="13"/>
  <c r="E6" i="13"/>
  <c r="E4" i="13"/>
  <c r="E3" i="13"/>
  <c r="E12" i="12"/>
  <c r="E23" i="12"/>
  <c r="E7" i="12"/>
  <c r="E21" i="12"/>
  <c r="E14" i="12"/>
  <c r="E10" i="12"/>
  <c r="E4" i="12"/>
  <c r="E22" i="12"/>
  <c r="E3" i="12"/>
  <c r="E5" i="12"/>
  <c r="E8" i="12"/>
  <c r="E9" i="12"/>
  <c r="E11" i="12"/>
  <c r="E16" i="12"/>
  <c r="E19" i="12"/>
  <c r="E20" i="12"/>
  <c r="E25" i="12"/>
  <c r="E26" i="12"/>
  <c r="N8" i="5"/>
  <c r="P5" i="5"/>
  <c r="Q8" i="5"/>
  <c r="M8" i="5"/>
  <c r="N5" i="5"/>
  <c r="N7" i="5"/>
  <c r="P6" i="5"/>
  <c r="L4" i="5"/>
  <c r="D4" i="5"/>
  <c r="C5" i="5"/>
  <c r="R7" i="5"/>
  <c r="L7" i="5"/>
  <c r="Q5" i="5"/>
  <c r="R5" i="5"/>
  <c r="M7" i="5"/>
  <c r="L6" i="5"/>
  <c r="D8" i="5"/>
  <c r="M4" i="5"/>
  <c r="E5" i="5"/>
  <c r="R8" i="5"/>
  <c r="D7" i="5"/>
  <c r="C8" i="5"/>
  <c r="D5" i="5"/>
  <c r="M5" i="5"/>
  <c r="P4" i="5"/>
  <c r="R6" i="5"/>
  <c r="C6" i="5"/>
  <c r="Q7" i="5"/>
  <c r="E6" i="5"/>
  <c r="L5" i="5"/>
  <c r="L8" i="5"/>
  <c r="C7" i="5"/>
  <c r="E8" i="5"/>
  <c r="M6" i="5"/>
  <c r="Q6" i="5"/>
  <c r="R4" i="5"/>
  <c r="E7" i="5"/>
  <c r="E4" i="5"/>
  <c r="D6" i="5"/>
  <c r="C4" i="5"/>
  <c r="N6" i="5"/>
  <c r="N4" i="5"/>
  <c r="P7" i="5"/>
  <c r="P8" i="5"/>
  <c r="Q4" i="5"/>
  <c r="O7" i="5" l="1"/>
  <c r="V7" i="5" s="1"/>
  <c r="O8" i="5"/>
  <c r="V8" i="5" s="1"/>
  <c r="O6" i="5"/>
  <c r="V6" i="5" s="1"/>
  <c r="O5" i="5"/>
  <c r="V5" i="5" s="1"/>
  <c r="O4" i="5"/>
  <c r="V4" i="5" s="1"/>
  <c r="R10" i="5"/>
  <c r="N10" i="5"/>
  <c r="E10" i="5"/>
  <c r="M10" i="5"/>
  <c r="E2" i="12"/>
  <c r="L10" i="5"/>
  <c r="S8" i="5" l="1"/>
  <c r="T8" i="5" s="1"/>
  <c r="S6" i="5"/>
  <c r="T6" i="5" s="1"/>
  <c r="S5" i="5"/>
  <c r="T5" i="5" s="1"/>
  <c r="S7" i="5"/>
  <c r="T7" i="5" s="1"/>
  <c r="S4" i="5"/>
  <c r="T4" i="5" s="1"/>
  <c r="W6" i="5"/>
  <c r="W5" i="5"/>
  <c r="W7" i="5"/>
  <c r="W8" i="5"/>
  <c r="W4" i="5"/>
  <c r="O10" i="5"/>
  <c r="U4" i="5" l="1"/>
  <c r="B6" i="5"/>
  <c r="B7" i="5"/>
  <c r="B5" i="5"/>
  <c r="B4" i="5"/>
  <c r="B8" i="5" l="1"/>
  <c r="F4" i="5" l="1"/>
  <c r="G4" i="5" s="1"/>
  <c r="F6" i="5"/>
  <c r="G6" i="5" s="1"/>
  <c r="H6" i="5" s="1"/>
  <c r="F8" i="5"/>
  <c r="G8" i="5" s="1"/>
  <c r="F7" i="5"/>
  <c r="G7" i="5" s="1"/>
  <c r="F5" i="5"/>
  <c r="G5" i="5" s="1"/>
  <c r="D10" i="5"/>
  <c r="C10" i="5"/>
  <c r="Q10" i="5"/>
  <c r="P10" i="5"/>
  <c r="H8" i="5" l="1"/>
  <c r="H4" i="5"/>
  <c r="H7" i="5"/>
  <c r="H5" i="5"/>
  <c r="U8" i="5"/>
  <c r="U7" i="5"/>
  <c r="U6" i="5"/>
  <c r="S10" i="5"/>
  <c r="U5" i="5"/>
  <c r="T10" i="5"/>
  <c r="F10" i="5"/>
  <c r="U10" i="5" l="1"/>
  <c r="G10" i="5"/>
  <c r="H10" i="5" l="1"/>
</calcChain>
</file>

<file path=xl/sharedStrings.xml><?xml version="1.0" encoding="utf-8"?>
<sst xmlns="http://schemas.openxmlformats.org/spreadsheetml/2006/main" count="184" uniqueCount="60">
  <si>
    <t>合　計</t>
  </si>
  <si>
    <t>社員別支給額計算表</t>
  </si>
  <si>
    <t>社ＣＯ</t>
  </si>
  <si>
    <t>社員名</t>
  </si>
  <si>
    <t>積立金</t>
  </si>
  <si>
    <t>支給額</t>
  </si>
  <si>
    <t>＜社員テーブル＞</t>
    <phoneticPr fontId="1"/>
  </si>
  <si>
    <t>社ＣＯ</t>
    <phoneticPr fontId="1"/>
  </si>
  <si>
    <t>区分</t>
    <rPh sb="0" eb="2">
      <t>クブン</t>
    </rPh>
    <phoneticPr fontId="1"/>
  </si>
  <si>
    <t>社ＣＯ</t>
    <rPh sb="0" eb="1">
      <t>シャ</t>
    </rPh>
    <phoneticPr fontId="1"/>
  </si>
  <si>
    <t>＜能力給単価テーブル＞</t>
    <rPh sb="1" eb="3">
      <t>ノウリョク</t>
    </rPh>
    <rPh sb="3" eb="4">
      <t>キュウ</t>
    </rPh>
    <rPh sb="4" eb="6">
      <t>タンカ</t>
    </rPh>
    <phoneticPr fontId="1"/>
  </si>
  <si>
    <t>能力給</t>
    <rPh sb="0" eb="3">
      <t>ノウリョクキュウ</t>
    </rPh>
    <phoneticPr fontId="1"/>
  </si>
  <si>
    <t>能力給</t>
    <rPh sb="0" eb="2">
      <t>ノウリョク</t>
    </rPh>
    <rPh sb="2" eb="3">
      <t>キュウ</t>
    </rPh>
    <phoneticPr fontId="1"/>
  </si>
  <si>
    <t>値引額</t>
    <rPh sb="0" eb="3">
      <t>ネビキガク</t>
    </rPh>
    <phoneticPr fontId="1"/>
  </si>
  <si>
    <t>請求額</t>
    <rPh sb="0" eb="3">
      <t>セイキュウガク</t>
    </rPh>
    <phoneticPr fontId="1"/>
  </si>
  <si>
    <t>達成率</t>
    <rPh sb="0" eb="3">
      <t>タッセイリツ</t>
    </rPh>
    <phoneticPr fontId="1"/>
  </si>
  <si>
    <t>得ＣＯ</t>
    <rPh sb="0" eb="1">
      <t>トク</t>
    </rPh>
    <phoneticPr fontId="1"/>
  </si>
  <si>
    <t>売上数</t>
    <rPh sb="0" eb="2">
      <t>ウリアゲ</t>
    </rPh>
    <rPh sb="2" eb="3">
      <t>スウ</t>
    </rPh>
    <phoneticPr fontId="1"/>
  </si>
  <si>
    <t>売価</t>
    <rPh sb="0" eb="2">
      <t>バイカ</t>
    </rPh>
    <phoneticPr fontId="1"/>
  </si>
  <si>
    <t>売上額</t>
    <rPh sb="0" eb="2">
      <t>ウリアゲ</t>
    </rPh>
    <rPh sb="2" eb="3">
      <t>ガク</t>
    </rPh>
    <phoneticPr fontId="1"/>
  </si>
  <si>
    <t>売上数</t>
    <rPh sb="0" eb="3">
      <t>ウリアゲスウ</t>
    </rPh>
    <phoneticPr fontId="1"/>
  </si>
  <si>
    <t>Ａ商品</t>
    <rPh sb="1" eb="3">
      <t>ショウヒン</t>
    </rPh>
    <phoneticPr fontId="1"/>
  </si>
  <si>
    <t>Ｂ商品</t>
    <rPh sb="1" eb="3">
      <t>ショウヒン</t>
    </rPh>
    <phoneticPr fontId="1"/>
  </si>
  <si>
    <t>定価</t>
    <rPh sb="0" eb="2">
      <t>テイカ</t>
    </rPh>
    <phoneticPr fontId="1"/>
  </si>
  <si>
    <t>L</t>
    <phoneticPr fontId="1"/>
  </si>
  <si>
    <t>M</t>
    <phoneticPr fontId="1"/>
  </si>
  <si>
    <t>N</t>
    <phoneticPr fontId="1"/>
  </si>
  <si>
    <t>101M</t>
  </si>
  <si>
    <t>101M</t>
    <phoneticPr fontId="1"/>
  </si>
  <si>
    <t>102L</t>
  </si>
  <si>
    <t>102L</t>
    <phoneticPr fontId="1"/>
  </si>
  <si>
    <t>103N</t>
  </si>
  <si>
    <t>103N</t>
    <phoneticPr fontId="1"/>
  </si>
  <si>
    <t>104L</t>
  </si>
  <si>
    <t>104L</t>
    <phoneticPr fontId="1"/>
  </si>
  <si>
    <t>105M</t>
  </si>
  <si>
    <t>105M</t>
    <phoneticPr fontId="1"/>
  </si>
  <si>
    <t>売上総額</t>
    <rPh sb="0" eb="2">
      <t>ウリアゲ</t>
    </rPh>
    <rPh sb="2" eb="4">
      <t>ソウガク</t>
    </rPh>
    <phoneticPr fontId="1"/>
  </si>
  <si>
    <t>得意先名</t>
    <rPh sb="0" eb="2">
      <t>トクイ</t>
    </rPh>
    <rPh sb="2" eb="3">
      <t>サキ</t>
    </rPh>
    <phoneticPr fontId="1"/>
  </si>
  <si>
    <t>売上目標数</t>
    <rPh sb="0" eb="2">
      <t>ウリアゲ</t>
    </rPh>
    <rPh sb="2" eb="4">
      <t>モクヒョウ</t>
    </rPh>
    <rPh sb="4" eb="5">
      <t>スウ</t>
    </rPh>
    <phoneticPr fontId="1"/>
  </si>
  <si>
    <t>得意先名</t>
    <rPh sb="0" eb="2">
      <t>トクイ</t>
    </rPh>
    <phoneticPr fontId="1"/>
  </si>
  <si>
    <t>得意先別請求額計算表</t>
    <rPh sb="0" eb="2">
      <t>トクイ</t>
    </rPh>
    <phoneticPr fontId="1"/>
  </si>
  <si>
    <t>評価</t>
    <rPh sb="0" eb="2">
      <t>ヒョウカ</t>
    </rPh>
    <phoneticPr fontId="1"/>
  </si>
  <si>
    <t>大川　英樹</t>
    <rPh sb="0" eb="2">
      <t>オオカワ</t>
    </rPh>
    <rPh sb="3" eb="5">
      <t>ヒデキ</t>
    </rPh>
    <phoneticPr fontId="1"/>
  </si>
  <si>
    <t>久保田　光</t>
    <rPh sb="0" eb="3">
      <t>クボタ</t>
    </rPh>
    <rPh sb="4" eb="5">
      <t>ヒカリ</t>
    </rPh>
    <phoneticPr fontId="1"/>
  </si>
  <si>
    <t>南　かおり</t>
    <rPh sb="0" eb="1">
      <t>ミナミ</t>
    </rPh>
    <phoneticPr fontId="1"/>
  </si>
  <si>
    <t>杉山　春美</t>
    <rPh sb="0" eb="2">
      <t>スギヤマ</t>
    </rPh>
    <rPh sb="3" eb="5">
      <t>ハルミ</t>
    </rPh>
    <phoneticPr fontId="1"/>
  </si>
  <si>
    <t>山田　公平</t>
    <rPh sb="0" eb="2">
      <t>ヤマダ</t>
    </rPh>
    <rPh sb="3" eb="5">
      <t>コウヘイ</t>
    </rPh>
    <phoneticPr fontId="1"/>
  </si>
  <si>
    <t>南部百貨店</t>
    <rPh sb="0" eb="2">
      <t>ナンブ</t>
    </rPh>
    <rPh sb="2" eb="5">
      <t>ヒャッカテン</t>
    </rPh>
    <phoneticPr fontId="1"/>
  </si>
  <si>
    <t>中央ストア</t>
    <rPh sb="0" eb="2">
      <t>チュウオウ</t>
    </rPh>
    <phoneticPr fontId="1"/>
  </si>
  <si>
    <t>新日本総業</t>
    <rPh sb="0" eb="3">
      <t>シンニホン</t>
    </rPh>
    <rPh sb="3" eb="5">
      <t>ソウギョウ</t>
    </rPh>
    <phoneticPr fontId="1"/>
  </si>
  <si>
    <t>さくら物産</t>
    <rPh sb="3" eb="5">
      <t>ブッサン</t>
    </rPh>
    <phoneticPr fontId="1"/>
  </si>
  <si>
    <t>ＳＤＫ商事</t>
    <rPh sb="3" eb="5">
      <t>ショウジ</t>
    </rPh>
    <phoneticPr fontId="1"/>
  </si>
  <si>
    <t>＜得意先テーブル＞</t>
    <rPh sb="1" eb="3">
      <t>トクイ</t>
    </rPh>
    <rPh sb="3" eb="4">
      <t>サキ</t>
    </rPh>
    <phoneticPr fontId="1"/>
  </si>
  <si>
    <t>＜定価表＞</t>
    <rPh sb="1" eb="4">
      <t>テイカヒョウ</t>
    </rPh>
    <phoneticPr fontId="1"/>
  </si>
  <si>
    <t>Ｃ商品</t>
    <rPh sb="1" eb="3">
      <t>ショウヒン</t>
    </rPh>
    <phoneticPr fontId="1"/>
  </si>
  <si>
    <t>特別手当</t>
    <rPh sb="0" eb="2">
      <t>トクベツ</t>
    </rPh>
    <rPh sb="2" eb="4">
      <t>テアテ</t>
    </rPh>
    <phoneticPr fontId="1"/>
  </si>
  <si>
    <t>売上総数</t>
    <rPh sb="0" eb="2">
      <t>ウリアゲ</t>
    </rPh>
    <rPh sb="2" eb="4">
      <t>ソウスウ</t>
    </rPh>
    <phoneticPr fontId="1"/>
  </si>
  <si>
    <t>【100点】</t>
    <rPh sb="4" eb="5">
      <t>テン</t>
    </rPh>
    <phoneticPr fontId="1"/>
  </si>
  <si>
    <t>グラフ【20点】</t>
    <rPh sb="6" eb="7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</si>
</sst>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0.0%"/>
  </numFmts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color rgb="FFFF0000"/>
      <name val="ＭＳ 明朝"/>
      <family val="2"/>
      <charset val="128"/>
    </font>
    <font>
      <sz val="11"/>
      <name val="ＭＳ 明朝"/>
      <family val="2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5" xfId="0" applyBorder="1">
      <alignment vertical="center"/>
    </xf>
    <xf numFmtId="3" fontId="0" fillId="0" borderId="6" xfId="0" applyNumberFormat="1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" fontId="0" fillId="0" borderId="8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3" fontId="0" fillId="0" borderId="9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3" fillId="0" borderId="0" xfId="0" applyFont="1">
      <alignment vertical="center"/>
    </xf>
    <xf numFmtId="3" fontId="4" fillId="0" borderId="1" xfId="0" applyNumberFormat="1" applyFont="1" applyBorder="1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>
      <alignment vertical="center"/>
    </xf>
    <xf numFmtId="38" fontId="0" fillId="0" borderId="0" xfId="1" applyFont="1">
      <alignment vertical="center"/>
    </xf>
    <xf numFmtId="0" fontId="5" fillId="0" borderId="1" xfId="0" applyFont="1" applyBorder="1">
      <alignment vertical="center"/>
    </xf>
    <xf numFmtId="176" fontId="4" fillId="0" borderId="0" xfId="1" applyNumberFormat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8" fontId="5" fillId="0" borderId="6" xfId="1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38" fontId="5" fillId="0" borderId="9" xfId="1" applyFont="1" applyBorder="1">
      <alignment vertical="center"/>
    </xf>
    <xf numFmtId="0" fontId="5" fillId="0" borderId="20" xfId="0" applyFont="1" applyBorder="1" applyAlignment="1">
      <alignment horizontal="center" vertical="center"/>
    </xf>
    <xf numFmtId="38" fontId="5" fillId="0" borderId="21" xfId="1" applyFont="1" applyBorder="1">
      <alignment vertical="center"/>
    </xf>
    <xf numFmtId="38" fontId="5" fillId="0" borderId="22" xfId="1" applyFont="1" applyBorder="1">
      <alignment vertic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4" xfId="0" applyBorder="1" applyAlignment="1"/>
    <xf numFmtId="0" fontId="0" fillId="0" borderId="17" xfId="0" applyBorder="1" applyAlignment="1"/>
    <xf numFmtId="0" fontId="0" fillId="0" borderId="18" xfId="0" applyBorder="1" applyAlignment="1"/>
    <xf numFmtId="9" fontId="4" fillId="0" borderId="0" xfId="2" applyFont="1" applyBorder="1">
      <alignment vertic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/>
    <xf numFmtId="38" fontId="5" fillId="0" borderId="1" xfId="1" applyFont="1" applyBorder="1">
      <alignment vertical="center"/>
    </xf>
    <xf numFmtId="38" fontId="4" fillId="0" borderId="1" xfId="1" applyFont="1" applyBorder="1">
      <alignment vertical="center"/>
    </xf>
    <xf numFmtId="0" fontId="5" fillId="0" borderId="0" xfId="0" applyFont="1" applyAlignment="1">
      <alignment horizontal="center" vertical="center"/>
    </xf>
    <xf numFmtId="38" fontId="4" fillId="0" borderId="0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22" xfId="1" applyFont="1" applyBorder="1">
      <alignment vertical="center"/>
    </xf>
    <xf numFmtId="0" fontId="4" fillId="0" borderId="1" xfId="0" applyFont="1" applyBorder="1">
      <alignment vertical="center"/>
    </xf>
    <xf numFmtId="0" fontId="0" fillId="0" borderId="26" xfId="0" applyBorder="1" applyAlignment="1"/>
    <xf numFmtId="0" fontId="0" fillId="0" borderId="30" xfId="0" applyBorder="1" applyAlignment="1">
      <alignment horizontal="center"/>
    </xf>
    <xf numFmtId="177" fontId="4" fillId="0" borderId="24" xfId="2" applyNumberFormat="1" applyFont="1" applyBorder="1">
      <alignment vertical="center"/>
    </xf>
    <xf numFmtId="3" fontId="0" fillId="0" borderId="24" xfId="0" applyNumberFormat="1" applyBorder="1">
      <alignment vertical="center"/>
    </xf>
    <xf numFmtId="3" fontId="0" fillId="0" borderId="31" xfId="0" applyNumberFormat="1" applyBorder="1">
      <alignment vertical="center"/>
    </xf>
    <xf numFmtId="38" fontId="0" fillId="0" borderId="1" xfId="1" applyFont="1" applyBorder="1">
      <alignment vertical="center"/>
    </xf>
    <xf numFmtId="38" fontId="0" fillId="0" borderId="8" xfId="1" applyFont="1" applyBorder="1">
      <alignment vertical="center"/>
    </xf>
    <xf numFmtId="38" fontId="5" fillId="0" borderId="8" xfId="1" applyFont="1" applyBorder="1">
      <alignment vertical="center"/>
    </xf>
    <xf numFmtId="0" fontId="6" fillId="0" borderId="0" xfId="3">
      <alignment vertical="center"/>
    </xf>
    <xf numFmtId="0" fontId="0" fillId="0" borderId="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 xr:uid="{698D85D4-327D-4ACF-A241-C652C6A1C5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ja-JP" sz="1100" b="0" i="0" u="none" strike="noStrike" baseline="0">
                <a:effectLst/>
              </a:rPr>
              <a:t>得意先別の売上総数と請求額の比較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計算表!$U$3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ysClr val="window" lastClr="FFFFFF">
                <a:lumMod val="50000"/>
              </a:sys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計算表!$K$4:$K$8</c:f>
              <c:strCache>
                <c:ptCount val="5"/>
                <c:pt idx="0">
                  <c:v>南部百貨店</c:v>
                </c:pt>
                <c:pt idx="1">
                  <c:v>中央ストア</c:v>
                </c:pt>
                <c:pt idx="2">
                  <c:v>新日本総業</c:v>
                </c:pt>
                <c:pt idx="3">
                  <c:v>さくら物産</c:v>
                </c:pt>
                <c:pt idx="4">
                  <c:v>ＳＤＫ商事</c:v>
                </c:pt>
              </c:strCache>
            </c:strRef>
          </c:cat>
          <c:val>
            <c:numRef>
              <c:f>計算表!$U$4:$U$8</c:f>
              <c:numCache>
                <c:formatCode>#,##0</c:formatCode>
                <c:ptCount val="5"/>
                <c:pt idx="0">
                  <c:v>2498700</c:v>
                </c:pt>
                <c:pt idx="1">
                  <c:v>2447810</c:v>
                </c:pt>
                <c:pt idx="2">
                  <c:v>2420220</c:v>
                </c:pt>
                <c:pt idx="3">
                  <c:v>2446930</c:v>
                </c:pt>
                <c:pt idx="4">
                  <c:v>2446350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AE-4E7F-8A2D-754622A94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7029424"/>
        <c:axId val="627029096"/>
      </c:barChart>
      <c:lineChart>
        <c:grouping val="standard"/>
        <c:varyColors val="0"/>
        <c:ser>
          <c:idx val="0"/>
          <c:order val="0"/>
          <c:tx>
            <c:strRef>
              <c:f>計算表!$O$3</c:f>
              <c:strCache>
                <c:ptCount val="1"/>
                <c:pt idx="0">
                  <c:v>売上総数</c:v>
                </c:pt>
              </c:strCache>
            </c:strRef>
          </c:tx>
          <c:spPr>
            <a:ln w="28575" cap="rnd">
              <a:solidFill>
                <a:schemeClr val="tx1">
                  <a:lumMod val="85000"/>
                  <a:lumOff val="1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計算表!$K$4:$K$8</c:f>
              <c:strCache>
                <c:ptCount val="5"/>
                <c:pt idx="0">
                  <c:v>南部百貨店</c:v>
                </c:pt>
                <c:pt idx="1">
                  <c:v>中央ストア</c:v>
                </c:pt>
                <c:pt idx="2">
                  <c:v>新日本総業</c:v>
                </c:pt>
                <c:pt idx="3">
                  <c:v>さくら物産</c:v>
                </c:pt>
                <c:pt idx="4">
                  <c:v>ＳＤＫ商事</c:v>
                </c:pt>
              </c:strCache>
            </c:strRef>
          </c:cat>
          <c:val>
            <c:numRef>
              <c:f>計算表!$O$4:$O$8</c:f>
              <c:numCache>
                <c:formatCode>#,##0</c:formatCode>
                <c:ptCount val="5"/>
                <c:pt idx="0">
                  <c:v>1566</c:v>
                </c:pt>
                <c:pt idx="1">
                  <c:v>1526</c:v>
                </c:pt>
                <c:pt idx="2">
                  <c:v>1510</c:v>
                </c:pt>
                <c:pt idx="3">
                  <c:v>1530</c:v>
                </c:pt>
                <c:pt idx="4">
                  <c:v>1530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78-4EAB-BE24-F4E2CFE77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372160"/>
        <c:axId val="526380032"/>
      </c:lineChart>
      <c:catAx>
        <c:axId val="52637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85000"/>
                <a:lumOff val="1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526380032"/>
        <c:crosses val="autoZero"/>
        <c:auto val="1"/>
        <c:lblAlgn val="ctr"/>
        <c:lblOffset val="100"/>
        <c:noMultiLvlLbl val="0"/>
      </c:catAx>
      <c:valAx>
        <c:axId val="52638003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526372160"/>
        <c:crosses val="autoZero"/>
        <c:crossBetween val="between"/>
      </c:valAx>
      <c:valAx>
        <c:axId val="627029096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627029424"/>
        <c:crosses val="max"/>
        <c:crossBetween val="between"/>
      </c:valAx>
      <c:catAx>
        <c:axId val="627029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2702909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85000"/>
              <a:lumOff val="15000"/>
            </a:schemeClr>
          </a:solidFill>
        </a:ln>
        <a:effectLst/>
      </c:spPr>
    </c:plotArea>
    <c:legend>
      <c:legendPos val="r"/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>
          <a:lumMod val="85000"/>
          <a:lumOff val="15000"/>
        </a:sys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428625</xdr:colOff>
      <xdr:row>17</xdr:row>
      <xdr:rowOff>4761</xdr:rowOff>
    </xdr:from>
    <xdr:to>
      <xdr:col>16</xdr:col>
      <xdr:colOff>733425</xdr:colOff>
      <xdr:row>37</xdr:row>
      <xdr:rowOff>9524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2EDE51F-F06E-B25B-702F-CC848E3ECC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"/>
  <sheetViews>
    <sheetView tabSelected="1" zoomScaleNormal="100" workbookViewId="0"/>
  </sheetViews>
  <sheetFormatPr defaultRowHeight="13.5"/>
  <cols>
    <col min="1" max="2" width="8.75" customWidth="1"/>
    <col min="3" max="4" width="7.5" customWidth="1"/>
    <col min="5" max="5" width="5" customWidth="1"/>
    <col min="6" max="9" width="7.5" customWidth="1"/>
    <col min="10" max="10" width="4.875" customWidth="1"/>
    <col min="11" max="11" width="7.5" bestFit="1" customWidth="1"/>
    <col min="12" max="12" width="11.625" bestFit="1" customWidth="1"/>
    <col min="13" max="13" width="5.625" customWidth="1"/>
    <col min="14" max="14" width="7.5" customWidth="1"/>
    <col min="15" max="15" width="11.375" customWidth="1"/>
    <col min="16" max="16" width="11.625" bestFit="1" customWidth="1"/>
    <col min="17" max="17" width="5.625" customWidth="1"/>
    <col min="18" max="20" width="7.5" bestFit="1" customWidth="1"/>
  </cols>
  <sheetData>
    <row r="1" spans="1:16">
      <c r="A1" t="s">
        <v>54</v>
      </c>
      <c r="F1" t="s">
        <v>10</v>
      </c>
      <c r="K1" t="s">
        <v>6</v>
      </c>
      <c r="N1" t="s">
        <v>53</v>
      </c>
    </row>
    <row r="2" spans="1:16">
      <c r="A2" s="60" t="s">
        <v>20</v>
      </c>
      <c r="B2" s="60" t="s">
        <v>23</v>
      </c>
      <c r="C2" s="60"/>
      <c r="D2" s="60"/>
      <c r="E2" s="17"/>
      <c r="F2" s="1" t="s">
        <v>8</v>
      </c>
      <c r="G2" s="22" t="s">
        <v>21</v>
      </c>
      <c r="H2" s="22" t="s">
        <v>22</v>
      </c>
      <c r="I2" s="22" t="s">
        <v>55</v>
      </c>
      <c r="K2" s="1" t="s">
        <v>7</v>
      </c>
      <c r="L2" s="1" t="s">
        <v>3</v>
      </c>
      <c r="N2" s="1" t="s">
        <v>16</v>
      </c>
      <c r="O2" s="1" t="s">
        <v>38</v>
      </c>
      <c r="P2" s="1" t="s">
        <v>39</v>
      </c>
    </row>
    <row r="3" spans="1:16">
      <c r="A3" s="60"/>
      <c r="B3" s="22" t="s">
        <v>21</v>
      </c>
      <c r="C3" s="22" t="s">
        <v>22</v>
      </c>
      <c r="D3" s="22" t="s">
        <v>55</v>
      </c>
      <c r="E3" s="41"/>
      <c r="F3" s="2" t="s">
        <v>24</v>
      </c>
      <c r="G3" s="50">
        <v>287</v>
      </c>
      <c r="H3" s="50">
        <v>302</v>
      </c>
      <c r="I3" s="50">
        <v>315</v>
      </c>
      <c r="K3" s="20" t="s">
        <v>28</v>
      </c>
      <c r="L3" s="20" t="s">
        <v>43</v>
      </c>
      <c r="N3" s="2">
        <v>11</v>
      </c>
      <c r="O3" s="20" t="s">
        <v>48</v>
      </c>
      <c r="P3" s="44">
        <v>1620</v>
      </c>
    </row>
    <row r="4" spans="1:16">
      <c r="A4" s="50">
        <v>1</v>
      </c>
      <c r="B4" s="45">
        <v>1760</v>
      </c>
      <c r="C4" s="45">
        <v>1850</v>
      </c>
      <c r="D4" s="45">
        <v>1940</v>
      </c>
      <c r="E4" s="41"/>
      <c r="F4" s="2" t="s">
        <v>25</v>
      </c>
      <c r="G4" s="50">
        <v>276</v>
      </c>
      <c r="H4" s="50">
        <v>291</v>
      </c>
      <c r="I4" s="50">
        <v>304</v>
      </c>
      <c r="K4" s="20" t="s">
        <v>30</v>
      </c>
      <c r="L4" s="20" t="s">
        <v>45</v>
      </c>
      <c r="N4" s="2">
        <v>12</v>
      </c>
      <c r="O4" s="20" t="s">
        <v>49</v>
      </c>
      <c r="P4" s="44">
        <v>1520</v>
      </c>
    </row>
    <row r="5" spans="1:16">
      <c r="A5" s="15">
        <v>90</v>
      </c>
      <c r="B5" s="45">
        <v>1720</v>
      </c>
      <c r="C5" s="45">
        <v>1810</v>
      </c>
      <c r="D5" s="45">
        <v>1900</v>
      </c>
      <c r="E5" s="41"/>
      <c r="F5" s="2" t="s">
        <v>26</v>
      </c>
      <c r="G5" s="50">
        <v>265</v>
      </c>
      <c r="H5" s="50">
        <v>279</v>
      </c>
      <c r="I5" s="50">
        <v>293</v>
      </c>
      <c r="K5" s="20" t="s">
        <v>32</v>
      </c>
      <c r="L5" s="20" t="s">
        <v>44</v>
      </c>
      <c r="N5" s="2">
        <v>13</v>
      </c>
      <c r="O5" s="20" t="s">
        <v>50</v>
      </c>
      <c r="P5" s="44">
        <v>1570</v>
      </c>
    </row>
    <row r="6" spans="1:16">
      <c r="A6" s="15">
        <v>110</v>
      </c>
      <c r="B6" s="45">
        <v>1680</v>
      </c>
      <c r="C6" s="45">
        <v>1770</v>
      </c>
      <c r="D6" s="45">
        <v>1860</v>
      </c>
      <c r="E6" s="21"/>
      <c r="F6" s="21"/>
      <c r="G6" s="21"/>
      <c r="H6" s="21"/>
      <c r="I6" s="21"/>
      <c r="K6" s="20" t="s">
        <v>34</v>
      </c>
      <c r="L6" s="20" t="s">
        <v>46</v>
      </c>
      <c r="N6" s="2">
        <v>14</v>
      </c>
      <c r="O6" s="20" t="s">
        <v>51</v>
      </c>
      <c r="P6" s="44">
        <v>1590</v>
      </c>
    </row>
    <row r="7" spans="1:16">
      <c r="K7" s="20" t="s">
        <v>36</v>
      </c>
      <c r="L7" s="20" t="s">
        <v>47</v>
      </c>
      <c r="N7" s="2">
        <v>15</v>
      </c>
      <c r="O7" s="20" t="s">
        <v>52</v>
      </c>
      <c r="P7" s="44">
        <v>1530</v>
      </c>
    </row>
    <row r="9" spans="1:16">
      <c r="B9" s="46"/>
      <c r="C9" s="46"/>
      <c r="D9" s="46"/>
    </row>
    <row r="10" spans="1:16">
      <c r="B10" s="47"/>
      <c r="C10" s="47"/>
      <c r="D10" s="47"/>
      <c r="E10" s="41"/>
      <c r="F10" s="41"/>
      <c r="G10" s="41"/>
      <c r="H10" s="41"/>
      <c r="I10" s="41"/>
    </row>
    <row r="11" spans="1:16">
      <c r="A11" s="16"/>
      <c r="B11" s="47"/>
      <c r="C11" s="47"/>
      <c r="D11" s="47"/>
      <c r="E11" s="41"/>
      <c r="F11" s="41"/>
      <c r="G11" s="41"/>
      <c r="H11" s="41"/>
      <c r="I11" s="41"/>
    </row>
    <row r="12" spans="1:16">
      <c r="A12" s="16"/>
      <c r="B12" s="47"/>
      <c r="C12" s="47"/>
      <c r="D12" s="47"/>
      <c r="E12" s="41"/>
      <c r="F12" s="41"/>
      <c r="G12" s="41"/>
      <c r="H12" s="41"/>
      <c r="I12" s="41"/>
    </row>
  </sheetData>
  <mergeCells count="2">
    <mergeCell ref="A2:A3"/>
    <mergeCell ref="B2:D2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FB47C-BE98-4589-954A-CA984A13C089}">
  <dimension ref="A1:G26"/>
  <sheetViews>
    <sheetView workbookViewId="0"/>
  </sheetViews>
  <sheetFormatPr defaultRowHeight="13.5"/>
  <cols>
    <col min="1" max="1" width="7.5" bestFit="1" customWidth="1"/>
    <col min="2" max="2" width="7.5" customWidth="1"/>
    <col min="3" max="3" width="7.5" bestFit="1" customWidth="1"/>
    <col min="4" max="4" width="6.5" bestFit="1" customWidth="1"/>
    <col min="5" max="5" width="8.5" bestFit="1" customWidth="1"/>
    <col min="6" max="6" width="7.5" bestFit="1" customWidth="1"/>
  </cols>
  <sheetData>
    <row r="1" spans="1:6">
      <c r="A1" s="26" t="s">
        <v>9</v>
      </c>
      <c r="B1" s="23" t="s">
        <v>16</v>
      </c>
      <c r="C1" s="23" t="s">
        <v>17</v>
      </c>
      <c r="D1" s="23" t="s">
        <v>18</v>
      </c>
      <c r="E1" s="23" t="s">
        <v>19</v>
      </c>
      <c r="F1" s="24" t="s">
        <v>12</v>
      </c>
    </row>
    <row r="2" spans="1:6">
      <c r="A2" s="27" t="s">
        <v>27</v>
      </c>
      <c r="B2" s="20">
        <v>11</v>
      </c>
      <c r="C2" s="2">
        <v>106</v>
      </c>
      <c r="D2" s="56">
        <f>ROUNDDOWN(VLOOKUP(C2,テーブル!$A$4:$D$6,2,1)*0.93,-1)</f>
        <v>1590</v>
      </c>
      <c r="E2" s="44">
        <f>D2*C2</f>
        <v>168540</v>
      </c>
      <c r="F2" s="25">
        <f>ROUNDUP(VLOOKUP(RIGHT(A2,1),テーブル!$F$3:$I$5,2,0)*C2,-1)</f>
        <v>29260</v>
      </c>
    </row>
    <row r="3" spans="1:6">
      <c r="A3" s="27" t="s">
        <v>27</v>
      </c>
      <c r="B3" s="20">
        <v>12</v>
      </c>
      <c r="C3" s="2">
        <v>95</v>
      </c>
      <c r="D3" s="56">
        <f>ROUNDDOWN(VLOOKUP(C3,テーブル!$A$4:$D$6,2,1)*0.93,-1)</f>
        <v>1590</v>
      </c>
      <c r="E3" s="44">
        <f t="shared" ref="E3:E26" si="0">D3*C3</f>
        <v>151050</v>
      </c>
      <c r="F3" s="25">
        <f>ROUNDUP(VLOOKUP(RIGHT(A3,1),テーブル!$F$3:$I$5,2,0)*C3,-1)</f>
        <v>26220</v>
      </c>
    </row>
    <row r="4" spans="1:6">
      <c r="A4" s="27" t="s">
        <v>27</v>
      </c>
      <c r="B4" s="20">
        <v>13</v>
      </c>
      <c r="C4" s="2">
        <v>137</v>
      </c>
      <c r="D4" s="56">
        <f>ROUNDDOWN(VLOOKUP(C4,テーブル!$A$4:$D$6,2,1)*0.93,-1)</f>
        <v>1560</v>
      </c>
      <c r="E4" s="44">
        <f t="shared" si="0"/>
        <v>213720</v>
      </c>
      <c r="F4" s="25">
        <f>ROUNDUP(VLOOKUP(RIGHT(A4,1),テーブル!$F$3:$I$5,2,0)*C4,-1)</f>
        <v>37820</v>
      </c>
    </row>
    <row r="5" spans="1:6">
      <c r="A5" s="27" t="s">
        <v>27</v>
      </c>
      <c r="B5" s="20">
        <v>14</v>
      </c>
      <c r="C5" s="2">
        <v>84</v>
      </c>
      <c r="D5" s="56">
        <f>ROUNDDOWN(VLOOKUP(C5,テーブル!$A$4:$D$6,2,1)*0.93,-1)</f>
        <v>1630</v>
      </c>
      <c r="E5" s="44">
        <f t="shared" si="0"/>
        <v>136920</v>
      </c>
      <c r="F5" s="25">
        <f>ROUNDUP(VLOOKUP(RIGHT(A5,1),テーブル!$F$3:$I$5,2,0)*C5,-1)</f>
        <v>23190</v>
      </c>
    </row>
    <row r="6" spans="1:6">
      <c r="A6" s="27" t="s">
        <v>27</v>
      </c>
      <c r="B6" s="20">
        <v>15</v>
      </c>
      <c r="C6" s="2">
        <v>136</v>
      </c>
      <c r="D6" s="56">
        <f>ROUNDDOWN(VLOOKUP(C6,テーブル!$A$4:$D$6,2,1)*0.93,-1)</f>
        <v>1560</v>
      </c>
      <c r="E6" s="44">
        <f t="shared" si="0"/>
        <v>212160</v>
      </c>
      <c r="F6" s="25">
        <f>ROUNDUP(VLOOKUP(RIGHT(A6,1),テーブル!$F$3:$I$5,2,0)*C6,-1)</f>
        <v>37540</v>
      </c>
    </row>
    <row r="7" spans="1:6">
      <c r="A7" s="27" t="s">
        <v>29</v>
      </c>
      <c r="B7" s="20">
        <v>11</v>
      </c>
      <c r="C7" s="2">
        <v>103</v>
      </c>
      <c r="D7" s="56">
        <f>ROUNDDOWN(VLOOKUP(C7,テーブル!$A$4:$D$6,2,1)*0.93,-1)</f>
        <v>1590</v>
      </c>
      <c r="E7" s="44">
        <f t="shared" si="0"/>
        <v>163770</v>
      </c>
      <c r="F7" s="25">
        <f>ROUNDUP(VLOOKUP(RIGHT(A7,1),テーブル!$F$3:$I$5,2,0)*C7,-1)</f>
        <v>29570</v>
      </c>
    </row>
    <row r="8" spans="1:6">
      <c r="A8" s="27" t="s">
        <v>29</v>
      </c>
      <c r="B8" s="20">
        <v>12</v>
      </c>
      <c r="C8" s="2">
        <v>97</v>
      </c>
      <c r="D8" s="56">
        <f>ROUNDDOWN(VLOOKUP(C8,テーブル!$A$4:$D$6,2,1)*0.93,-1)</f>
        <v>1590</v>
      </c>
      <c r="E8" s="44">
        <f t="shared" si="0"/>
        <v>154230</v>
      </c>
      <c r="F8" s="25">
        <f>ROUNDUP(VLOOKUP(RIGHT(A8,1),テーブル!$F$3:$I$5,2,0)*C8,-1)</f>
        <v>27840</v>
      </c>
    </row>
    <row r="9" spans="1:6">
      <c r="A9" s="27" t="s">
        <v>29</v>
      </c>
      <c r="B9" s="20">
        <v>13</v>
      </c>
      <c r="C9" s="2">
        <v>149</v>
      </c>
      <c r="D9" s="56">
        <f>ROUNDDOWN(VLOOKUP(C9,テーブル!$A$4:$D$6,2,1)*0.93,-1)</f>
        <v>1560</v>
      </c>
      <c r="E9" s="44">
        <f t="shared" si="0"/>
        <v>232440</v>
      </c>
      <c r="F9" s="25">
        <f>ROUNDUP(VLOOKUP(RIGHT(A9,1),テーブル!$F$3:$I$5,2,0)*C9,-1)</f>
        <v>42770</v>
      </c>
    </row>
    <row r="10" spans="1:6">
      <c r="A10" s="27" t="s">
        <v>29</v>
      </c>
      <c r="B10" s="20">
        <v>14</v>
      </c>
      <c r="C10" s="2">
        <v>88</v>
      </c>
      <c r="D10" s="56">
        <f>ROUNDDOWN(VLOOKUP(C10,テーブル!$A$4:$D$6,2,1)*0.93,-1)</f>
        <v>1630</v>
      </c>
      <c r="E10" s="44">
        <f t="shared" si="0"/>
        <v>143440</v>
      </c>
      <c r="F10" s="25">
        <f>ROUNDUP(VLOOKUP(RIGHT(A10,1),テーブル!$F$3:$I$5,2,0)*C10,-1)</f>
        <v>25260</v>
      </c>
    </row>
    <row r="11" spans="1:6">
      <c r="A11" s="27" t="s">
        <v>29</v>
      </c>
      <c r="B11" s="20">
        <v>15</v>
      </c>
      <c r="C11" s="2">
        <v>126</v>
      </c>
      <c r="D11" s="56">
        <f>ROUNDDOWN(VLOOKUP(C11,テーブル!$A$4:$D$6,2,1)*0.93,-1)</f>
        <v>1560</v>
      </c>
      <c r="E11" s="44">
        <f t="shared" si="0"/>
        <v>196560</v>
      </c>
      <c r="F11" s="25">
        <f>ROUNDUP(VLOOKUP(RIGHT(A11,1),テーブル!$F$3:$I$5,2,0)*C11,-1)</f>
        <v>36170</v>
      </c>
    </row>
    <row r="12" spans="1:6">
      <c r="A12" s="27" t="s">
        <v>31</v>
      </c>
      <c r="B12" s="20">
        <v>11</v>
      </c>
      <c r="C12" s="2">
        <v>77</v>
      </c>
      <c r="D12" s="56">
        <f>ROUNDDOWN(VLOOKUP(C12,テーブル!$A$4:$D$6,2,1)*0.93,-1)</f>
        <v>1630</v>
      </c>
      <c r="E12" s="44">
        <f t="shared" si="0"/>
        <v>125510</v>
      </c>
      <c r="F12" s="25">
        <f>ROUNDUP(VLOOKUP(RIGHT(A12,1),テーブル!$F$3:$I$5,2,0)*C12,-1)</f>
        <v>20410</v>
      </c>
    </row>
    <row r="13" spans="1:6">
      <c r="A13" s="27" t="s">
        <v>31</v>
      </c>
      <c r="B13" s="20">
        <v>12</v>
      </c>
      <c r="C13" s="2">
        <v>79</v>
      </c>
      <c r="D13" s="56">
        <f>ROUNDDOWN(VLOOKUP(C13,テーブル!$A$4:$D$6,2,1)*0.93,-1)</f>
        <v>1630</v>
      </c>
      <c r="E13" s="44">
        <f t="shared" si="0"/>
        <v>128770</v>
      </c>
      <c r="F13" s="25">
        <f>ROUNDUP(VLOOKUP(RIGHT(A13,1),テーブル!$F$3:$I$5,2,0)*C13,-1)</f>
        <v>20940</v>
      </c>
    </row>
    <row r="14" spans="1:6">
      <c r="A14" s="27" t="s">
        <v>31</v>
      </c>
      <c r="B14" s="20">
        <v>13</v>
      </c>
      <c r="C14" s="2">
        <v>72</v>
      </c>
      <c r="D14" s="56">
        <f>ROUNDDOWN(VLOOKUP(C14,テーブル!$A$4:$D$6,2,1)*0.93,-1)</f>
        <v>1630</v>
      </c>
      <c r="E14" s="44">
        <f t="shared" si="0"/>
        <v>117360</v>
      </c>
      <c r="F14" s="25">
        <f>ROUNDUP(VLOOKUP(RIGHT(A14,1),テーブル!$F$3:$I$5,2,0)*C14,-1)</f>
        <v>19080</v>
      </c>
    </row>
    <row r="15" spans="1:6">
      <c r="A15" s="27" t="s">
        <v>31</v>
      </c>
      <c r="B15" s="20">
        <v>14</v>
      </c>
      <c r="C15" s="2">
        <v>119</v>
      </c>
      <c r="D15" s="56">
        <f>ROUNDDOWN(VLOOKUP(C15,テーブル!$A$4:$D$6,2,1)*0.93,-1)</f>
        <v>1560</v>
      </c>
      <c r="E15" s="44">
        <f t="shared" si="0"/>
        <v>185640</v>
      </c>
      <c r="F15" s="25">
        <f>ROUNDUP(VLOOKUP(RIGHT(A15,1),テーブル!$F$3:$I$5,2,0)*C15,-1)</f>
        <v>31540</v>
      </c>
    </row>
    <row r="16" spans="1:6">
      <c r="A16" s="27" t="s">
        <v>31</v>
      </c>
      <c r="B16" s="20">
        <v>15</v>
      </c>
      <c r="C16" s="2">
        <v>90</v>
      </c>
      <c r="D16" s="56">
        <f>ROUNDDOWN(VLOOKUP(C16,テーブル!$A$4:$D$6,2,1)*0.93,-1)</f>
        <v>1590</v>
      </c>
      <c r="E16" s="44">
        <f t="shared" si="0"/>
        <v>143100</v>
      </c>
      <c r="F16" s="25">
        <f>ROUNDUP(VLOOKUP(RIGHT(A16,1),テーブル!$F$3:$I$5,2,0)*C16,-1)</f>
        <v>23850</v>
      </c>
    </row>
    <row r="17" spans="1:7">
      <c r="A17" s="27" t="s">
        <v>33</v>
      </c>
      <c r="B17" s="20">
        <v>11</v>
      </c>
      <c r="C17" s="2">
        <v>75</v>
      </c>
      <c r="D17" s="56">
        <f>ROUNDDOWN(VLOOKUP(C17,テーブル!$A$4:$D$6,2,1)*0.93,-1)</f>
        <v>1630</v>
      </c>
      <c r="E17" s="44">
        <f t="shared" si="0"/>
        <v>122250</v>
      </c>
      <c r="F17" s="25">
        <f>ROUNDUP(VLOOKUP(RIGHT(A17,1),テーブル!$F$3:$I$5,2,0)*C17,-1)</f>
        <v>21530</v>
      </c>
    </row>
    <row r="18" spans="1:7">
      <c r="A18" s="27" t="s">
        <v>33</v>
      </c>
      <c r="B18" s="20">
        <v>12</v>
      </c>
      <c r="C18" s="50">
        <v>102</v>
      </c>
      <c r="D18" s="56">
        <f>ROUNDDOWN(VLOOKUP(C18,テーブル!$A$4:$D$6,2,1)*0.93,-1)</f>
        <v>1590</v>
      </c>
      <c r="E18" s="44">
        <f t="shared" si="0"/>
        <v>162180</v>
      </c>
      <c r="F18" s="25">
        <f>ROUNDUP(VLOOKUP(RIGHT(A18,1),テーブル!$F$3:$I$5,2,0)*C18,-1)</f>
        <v>29280</v>
      </c>
    </row>
    <row r="19" spans="1:7">
      <c r="A19" s="27" t="s">
        <v>33</v>
      </c>
      <c r="B19" s="20">
        <v>13</v>
      </c>
      <c r="C19" s="2">
        <v>82</v>
      </c>
      <c r="D19" s="56">
        <f>ROUNDDOWN(VLOOKUP(C19,テーブル!$A$4:$D$6,2,1)*0.93,-1)</f>
        <v>1630</v>
      </c>
      <c r="E19" s="44">
        <f t="shared" si="0"/>
        <v>133660</v>
      </c>
      <c r="F19" s="25">
        <f>ROUNDUP(VLOOKUP(RIGHT(A19,1),テーブル!$F$3:$I$5,2,0)*C19,-1)</f>
        <v>23540</v>
      </c>
    </row>
    <row r="20" spans="1:7">
      <c r="A20" s="27" t="s">
        <v>33</v>
      </c>
      <c r="B20" s="20">
        <v>14</v>
      </c>
      <c r="C20" s="2">
        <v>86</v>
      </c>
      <c r="D20" s="56">
        <f>ROUNDDOWN(VLOOKUP(C20,テーブル!$A$4:$D$6,2,1)*0.93,-1)</f>
        <v>1630</v>
      </c>
      <c r="E20" s="44">
        <f t="shared" si="0"/>
        <v>140180</v>
      </c>
      <c r="F20" s="25">
        <f>ROUNDUP(VLOOKUP(RIGHT(A20,1),テーブル!$F$3:$I$5,2,0)*C20,-1)</f>
        <v>24690</v>
      </c>
    </row>
    <row r="21" spans="1:7">
      <c r="A21" s="27" t="s">
        <v>33</v>
      </c>
      <c r="B21" s="20">
        <v>15</v>
      </c>
      <c r="C21" s="2">
        <v>104</v>
      </c>
      <c r="D21" s="56">
        <f>ROUNDDOWN(VLOOKUP(C21,テーブル!$A$4:$D$6,2,1)*0.93,-1)</f>
        <v>1590</v>
      </c>
      <c r="E21" s="44">
        <f t="shared" si="0"/>
        <v>165360</v>
      </c>
      <c r="F21" s="25">
        <f>ROUNDUP(VLOOKUP(RIGHT(A21,1),テーブル!$F$3:$I$5,2,0)*C21,-1)</f>
        <v>29850</v>
      </c>
    </row>
    <row r="22" spans="1:7">
      <c r="A22" s="27" t="s">
        <v>35</v>
      </c>
      <c r="B22" s="20">
        <v>11</v>
      </c>
      <c r="C22" s="2">
        <v>85</v>
      </c>
      <c r="D22" s="56">
        <f>ROUNDDOWN(VLOOKUP(C22,テーブル!$A$4:$D$6,2,1)*0.93,-1)</f>
        <v>1630</v>
      </c>
      <c r="E22" s="44">
        <f t="shared" si="0"/>
        <v>138550</v>
      </c>
      <c r="F22" s="25">
        <f>ROUNDUP(VLOOKUP(RIGHT(A22,1),テーブル!$F$3:$I$5,2,0)*C22,-1)</f>
        <v>23460</v>
      </c>
    </row>
    <row r="23" spans="1:7">
      <c r="A23" s="27" t="s">
        <v>35</v>
      </c>
      <c r="B23" s="20">
        <v>12</v>
      </c>
      <c r="C23" s="2">
        <v>110</v>
      </c>
      <c r="D23" s="56">
        <f>ROUNDDOWN(VLOOKUP(C23,テーブル!$A$4:$D$6,2,1)*0.93,-1)</f>
        <v>1560</v>
      </c>
      <c r="E23" s="44">
        <f t="shared" si="0"/>
        <v>171600</v>
      </c>
      <c r="F23" s="25">
        <f>ROUNDUP(VLOOKUP(RIGHT(A23,1),テーブル!$F$3:$I$5,2,0)*C23,-1)</f>
        <v>30360</v>
      </c>
    </row>
    <row r="24" spans="1:7">
      <c r="A24" s="27" t="s">
        <v>35</v>
      </c>
      <c r="B24" s="20">
        <v>13</v>
      </c>
      <c r="C24" s="2">
        <v>134</v>
      </c>
      <c r="D24" s="56">
        <f>ROUNDDOWN(VLOOKUP(C24,テーブル!$A$4:$D$6,2,1)*0.93,-1)</f>
        <v>1560</v>
      </c>
      <c r="E24" s="44">
        <f t="shared" si="0"/>
        <v>209040</v>
      </c>
      <c r="F24" s="25">
        <f>ROUNDUP(VLOOKUP(RIGHT(A24,1),テーブル!$F$3:$I$5,2,0)*C24,-1)</f>
        <v>36990</v>
      </c>
    </row>
    <row r="25" spans="1:7">
      <c r="A25" s="27" t="s">
        <v>35</v>
      </c>
      <c r="B25" s="20">
        <v>14</v>
      </c>
      <c r="C25" s="2">
        <v>101</v>
      </c>
      <c r="D25" s="56">
        <f>ROUNDDOWN(VLOOKUP(C25,テーブル!$A$4:$D$6,2,1)*0.93,-1)</f>
        <v>1590</v>
      </c>
      <c r="E25" s="44">
        <f t="shared" si="0"/>
        <v>160590</v>
      </c>
      <c r="F25" s="25">
        <f>ROUNDUP(VLOOKUP(RIGHT(A25,1),テーブル!$F$3:$I$5,2,0)*C25,-1)</f>
        <v>27880</v>
      </c>
    </row>
    <row r="26" spans="1:7" ht="14.25" thickBot="1">
      <c r="A26" s="28" t="s">
        <v>35</v>
      </c>
      <c r="B26" s="29">
        <v>15</v>
      </c>
      <c r="C26" s="18">
        <v>99</v>
      </c>
      <c r="D26" s="57">
        <f>ROUNDDOWN(VLOOKUP(C26,テーブル!$A$4:$D$6,2,1)*0.93,-1)</f>
        <v>1590</v>
      </c>
      <c r="E26" s="58">
        <f t="shared" si="0"/>
        <v>157410</v>
      </c>
      <c r="F26" s="30">
        <f>ROUNDUP(VLOOKUP(RIGHT(A26,1),テーブル!$F$3:$I$5,2,0)*C26,-1)</f>
        <v>27330</v>
      </c>
      <c r="G26" s="59" t="s">
        <v>58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6C5E3-19DA-4DA4-A6D2-0FE5ADE4BF19}">
  <dimension ref="A1:G26"/>
  <sheetViews>
    <sheetView workbookViewId="0"/>
  </sheetViews>
  <sheetFormatPr defaultRowHeight="13.5"/>
  <cols>
    <col min="1" max="1" width="7.5" bestFit="1" customWidth="1"/>
    <col min="2" max="2" width="7.5" customWidth="1"/>
    <col min="3" max="3" width="7.5" bestFit="1" customWidth="1"/>
    <col min="4" max="4" width="6.5" bestFit="1" customWidth="1"/>
    <col min="5" max="5" width="8.5" bestFit="1" customWidth="1"/>
    <col min="6" max="6" width="7.5" bestFit="1" customWidth="1"/>
  </cols>
  <sheetData>
    <row r="1" spans="1:6">
      <c r="A1" s="26" t="s">
        <v>9</v>
      </c>
      <c r="B1" s="23" t="s">
        <v>16</v>
      </c>
      <c r="C1" s="23" t="s">
        <v>17</v>
      </c>
      <c r="D1" s="31" t="s">
        <v>18</v>
      </c>
      <c r="E1" s="31" t="s">
        <v>19</v>
      </c>
      <c r="F1" s="24" t="s">
        <v>12</v>
      </c>
    </row>
    <row r="2" spans="1:6">
      <c r="A2" s="27" t="s">
        <v>27</v>
      </c>
      <c r="B2" s="20">
        <v>11</v>
      </c>
      <c r="C2" s="2">
        <v>66</v>
      </c>
      <c r="D2" s="48">
        <f>ROUNDDOWN(VLOOKUP(C2,テーブル!$A$4:$D$6,3,1)*0.93,-1)</f>
        <v>1720</v>
      </c>
      <c r="E2" s="32">
        <f t="shared" ref="E2:E26" si="0">D2*C2</f>
        <v>113520</v>
      </c>
      <c r="F2" s="25">
        <f>ROUNDUP(VLOOKUP(RIGHT(A2,1),テーブル!$F$3:$I$5,3,0)*C2,-1)</f>
        <v>19210</v>
      </c>
    </row>
    <row r="3" spans="1:6">
      <c r="A3" s="27" t="s">
        <v>27</v>
      </c>
      <c r="B3" s="20">
        <v>12</v>
      </c>
      <c r="C3" s="2">
        <v>73</v>
      </c>
      <c r="D3" s="48">
        <f>ROUNDDOWN(VLOOKUP(C3,テーブル!$A$4:$D$6,3,1)*0.93,-1)</f>
        <v>1720</v>
      </c>
      <c r="E3" s="32">
        <f t="shared" si="0"/>
        <v>125560</v>
      </c>
      <c r="F3" s="25">
        <f>ROUNDUP(VLOOKUP(RIGHT(A3,1),テーブル!$F$3:$I$5,3,0)*C3,-1)</f>
        <v>21250</v>
      </c>
    </row>
    <row r="4" spans="1:6">
      <c r="A4" s="27" t="s">
        <v>27</v>
      </c>
      <c r="B4" s="20">
        <v>13</v>
      </c>
      <c r="C4" s="2">
        <v>67</v>
      </c>
      <c r="D4" s="48">
        <f>ROUNDDOWN(VLOOKUP(C4,テーブル!$A$4:$D$6,3,1)*0.93,-1)</f>
        <v>1720</v>
      </c>
      <c r="E4" s="32">
        <f t="shared" si="0"/>
        <v>115240</v>
      </c>
      <c r="F4" s="25">
        <f>ROUNDUP(VLOOKUP(RIGHT(A4,1),テーブル!$F$3:$I$5,3,0)*C4,-1)</f>
        <v>19500</v>
      </c>
    </row>
    <row r="5" spans="1:6">
      <c r="A5" s="27" t="s">
        <v>27</v>
      </c>
      <c r="B5" s="20">
        <v>14</v>
      </c>
      <c r="C5" s="2">
        <v>136</v>
      </c>
      <c r="D5" s="48">
        <f>ROUNDDOWN(VLOOKUP(C5,テーブル!$A$4:$D$6,3,1)*0.93,-1)</f>
        <v>1640</v>
      </c>
      <c r="E5" s="32">
        <f t="shared" si="0"/>
        <v>223040</v>
      </c>
      <c r="F5" s="25">
        <f>ROUNDUP(VLOOKUP(RIGHT(A5,1),テーブル!$F$3:$I$5,3,0)*C5,-1)</f>
        <v>39580</v>
      </c>
    </row>
    <row r="6" spans="1:6">
      <c r="A6" s="27" t="s">
        <v>27</v>
      </c>
      <c r="B6" s="20">
        <v>15</v>
      </c>
      <c r="C6" s="2">
        <v>101</v>
      </c>
      <c r="D6" s="48">
        <f>ROUNDDOWN(VLOOKUP(C6,テーブル!$A$4:$D$6,3,1)*0.93,-1)</f>
        <v>1680</v>
      </c>
      <c r="E6" s="32">
        <f t="shared" si="0"/>
        <v>169680</v>
      </c>
      <c r="F6" s="25">
        <f>ROUNDUP(VLOOKUP(RIGHT(A6,1),テーブル!$F$3:$I$5,3,0)*C6,-1)</f>
        <v>29400</v>
      </c>
    </row>
    <row r="7" spans="1:6">
      <c r="A7" s="27" t="s">
        <v>29</v>
      </c>
      <c r="B7" s="20">
        <v>11</v>
      </c>
      <c r="C7" s="2">
        <v>110</v>
      </c>
      <c r="D7" s="48">
        <f>ROUNDDOWN(VLOOKUP(C7,テーブル!$A$4:$D$6,3,1)*0.93,-1)</f>
        <v>1640</v>
      </c>
      <c r="E7" s="32">
        <f t="shared" si="0"/>
        <v>180400</v>
      </c>
      <c r="F7" s="25">
        <f>ROUNDUP(VLOOKUP(RIGHT(A7,1),テーブル!$F$3:$I$5,3,0)*C7,-1)</f>
        <v>33220</v>
      </c>
    </row>
    <row r="8" spans="1:6">
      <c r="A8" s="27" t="s">
        <v>29</v>
      </c>
      <c r="B8" s="20">
        <v>12</v>
      </c>
      <c r="C8" s="2">
        <v>72</v>
      </c>
      <c r="D8" s="48">
        <f>ROUNDDOWN(VLOOKUP(C8,テーブル!$A$4:$D$6,3,1)*0.93,-1)</f>
        <v>1720</v>
      </c>
      <c r="E8" s="32">
        <f t="shared" si="0"/>
        <v>123840</v>
      </c>
      <c r="F8" s="25">
        <f>ROUNDUP(VLOOKUP(RIGHT(A8,1),テーブル!$F$3:$I$5,3,0)*C8,-1)</f>
        <v>21750</v>
      </c>
    </row>
    <row r="9" spans="1:6">
      <c r="A9" s="27" t="s">
        <v>29</v>
      </c>
      <c r="B9" s="20">
        <v>13</v>
      </c>
      <c r="C9" s="2">
        <v>116</v>
      </c>
      <c r="D9" s="48">
        <f>ROUNDDOWN(VLOOKUP(C9,テーブル!$A$4:$D$6,3,1)*0.93,-1)</f>
        <v>1640</v>
      </c>
      <c r="E9" s="32">
        <f t="shared" si="0"/>
        <v>190240</v>
      </c>
      <c r="F9" s="25">
        <f>ROUNDUP(VLOOKUP(RIGHT(A9,1),テーブル!$F$3:$I$5,3,0)*C9,-1)</f>
        <v>35040</v>
      </c>
    </row>
    <row r="10" spans="1:6">
      <c r="A10" s="27" t="s">
        <v>29</v>
      </c>
      <c r="B10" s="20">
        <v>14</v>
      </c>
      <c r="C10" s="2">
        <v>84</v>
      </c>
      <c r="D10" s="48">
        <f>ROUNDDOWN(VLOOKUP(C10,テーブル!$A$4:$D$6,3,1)*0.93,-1)</f>
        <v>1720</v>
      </c>
      <c r="E10" s="32">
        <f t="shared" si="0"/>
        <v>144480</v>
      </c>
      <c r="F10" s="25">
        <f>ROUNDUP(VLOOKUP(RIGHT(A10,1),テーブル!$F$3:$I$5,3,0)*C10,-1)</f>
        <v>25370</v>
      </c>
    </row>
    <row r="11" spans="1:6">
      <c r="A11" s="27" t="s">
        <v>29</v>
      </c>
      <c r="B11" s="20">
        <v>15</v>
      </c>
      <c r="C11" s="2">
        <v>99</v>
      </c>
      <c r="D11" s="48">
        <f>ROUNDDOWN(VLOOKUP(C11,テーブル!$A$4:$D$6,3,1)*0.93,-1)</f>
        <v>1680</v>
      </c>
      <c r="E11" s="32">
        <f t="shared" si="0"/>
        <v>166320</v>
      </c>
      <c r="F11" s="25">
        <f>ROUNDUP(VLOOKUP(RIGHT(A11,1),テーブル!$F$3:$I$5,3,0)*C11,-1)</f>
        <v>29900</v>
      </c>
    </row>
    <row r="12" spans="1:6">
      <c r="A12" s="27" t="s">
        <v>31</v>
      </c>
      <c r="B12" s="20">
        <v>11</v>
      </c>
      <c r="C12" s="2">
        <v>161</v>
      </c>
      <c r="D12" s="48">
        <f>ROUNDDOWN(VLOOKUP(C12,テーブル!$A$4:$D$6,3,1)*0.93,-1)</f>
        <v>1640</v>
      </c>
      <c r="E12" s="32">
        <f t="shared" si="0"/>
        <v>264040</v>
      </c>
      <c r="F12" s="25">
        <f>ROUNDUP(VLOOKUP(RIGHT(A12,1),テーブル!$F$3:$I$5,3,0)*C12,-1)</f>
        <v>44920</v>
      </c>
    </row>
    <row r="13" spans="1:6">
      <c r="A13" s="27" t="s">
        <v>31</v>
      </c>
      <c r="B13" s="20">
        <v>12</v>
      </c>
      <c r="C13" s="2">
        <v>115</v>
      </c>
      <c r="D13" s="48">
        <f>ROUNDDOWN(VLOOKUP(C13,テーブル!$A$4:$D$6,3,1)*0.93,-1)</f>
        <v>1640</v>
      </c>
      <c r="E13" s="32">
        <f t="shared" si="0"/>
        <v>188600</v>
      </c>
      <c r="F13" s="25">
        <f>ROUNDUP(VLOOKUP(RIGHT(A13,1),テーブル!$F$3:$I$5,3,0)*C13,-1)</f>
        <v>32090</v>
      </c>
    </row>
    <row r="14" spans="1:6">
      <c r="A14" s="27" t="s">
        <v>31</v>
      </c>
      <c r="B14" s="20">
        <v>13</v>
      </c>
      <c r="C14" s="2">
        <v>90</v>
      </c>
      <c r="D14" s="48">
        <f>ROUNDDOWN(VLOOKUP(C14,テーブル!$A$4:$D$6,3,1)*0.93,-1)</f>
        <v>1680</v>
      </c>
      <c r="E14" s="32">
        <f t="shared" si="0"/>
        <v>151200</v>
      </c>
      <c r="F14" s="25">
        <f>ROUNDUP(VLOOKUP(RIGHT(A14,1),テーブル!$F$3:$I$5,3,0)*C14,-1)</f>
        <v>25110</v>
      </c>
    </row>
    <row r="15" spans="1:6">
      <c r="A15" s="27" t="s">
        <v>31</v>
      </c>
      <c r="B15" s="20">
        <v>14</v>
      </c>
      <c r="C15" s="2">
        <v>104</v>
      </c>
      <c r="D15" s="48">
        <f>ROUNDDOWN(VLOOKUP(C15,テーブル!$A$4:$D$6,3,1)*0.93,-1)</f>
        <v>1680</v>
      </c>
      <c r="E15" s="32">
        <f t="shared" si="0"/>
        <v>174720</v>
      </c>
      <c r="F15" s="25">
        <f>ROUNDUP(VLOOKUP(RIGHT(A15,1),テーブル!$F$3:$I$5,3,0)*C15,-1)</f>
        <v>29020</v>
      </c>
    </row>
    <row r="16" spans="1:6">
      <c r="A16" s="27" t="s">
        <v>31</v>
      </c>
      <c r="B16" s="20">
        <v>15</v>
      </c>
      <c r="C16" s="2">
        <v>49</v>
      </c>
      <c r="D16" s="48">
        <f>ROUNDDOWN(VLOOKUP(C16,テーブル!$A$4:$D$6,3,1)*0.93,-1)</f>
        <v>1720</v>
      </c>
      <c r="E16" s="32">
        <f t="shared" si="0"/>
        <v>84280</v>
      </c>
      <c r="F16" s="25">
        <f>ROUNDUP(VLOOKUP(RIGHT(A16,1),テーブル!$F$3:$I$5,3,0)*C16,-1)</f>
        <v>13680</v>
      </c>
    </row>
    <row r="17" spans="1:7">
      <c r="A17" s="27" t="s">
        <v>33</v>
      </c>
      <c r="B17" s="20">
        <v>11</v>
      </c>
      <c r="C17" s="2">
        <v>124</v>
      </c>
      <c r="D17" s="48">
        <f>ROUNDDOWN(VLOOKUP(C17,テーブル!$A$4:$D$6,3,1)*0.93,-1)</f>
        <v>1640</v>
      </c>
      <c r="E17" s="32">
        <f t="shared" si="0"/>
        <v>203360</v>
      </c>
      <c r="F17" s="25">
        <f>ROUNDUP(VLOOKUP(RIGHT(A17,1),テーブル!$F$3:$I$5,3,0)*C17,-1)</f>
        <v>37450</v>
      </c>
    </row>
    <row r="18" spans="1:7">
      <c r="A18" s="27" t="s">
        <v>33</v>
      </c>
      <c r="B18" s="20">
        <v>12</v>
      </c>
      <c r="C18" s="2">
        <v>97</v>
      </c>
      <c r="D18" s="48">
        <f>ROUNDDOWN(VLOOKUP(C18,テーブル!$A$4:$D$6,3,1)*0.93,-1)</f>
        <v>1680</v>
      </c>
      <c r="E18" s="32">
        <f t="shared" si="0"/>
        <v>162960</v>
      </c>
      <c r="F18" s="25">
        <f>ROUNDUP(VLOOKUP(RIGHT(A18,1),テーブル!$F$3:$I$5,3,0)*C18,-1)</f>
        <v>29300</v>
      </c>
    </row>
    <row r="19" spans="1:7">
      <c r="A19" s="27" t="s">
        <v>33</v>
      </c>
      <c r="B19" s="20">
        <v>13</v>
      </c>
      <c r="C19" s="2">
        <v>63</v>
      </c>
      <c r="D19" s="48">
        <f>ROUNDDOWN(VLOOKUP(C19,テーブル!$A$4:$D$6,3,1)*0.93,-1)</f>
        <v>1720</v>
      </c>
      <c r="E19" s="32">
        <f t="shared" si="0"/>
        <v>108360</v>
      </c>
      <c r="F19" s="25">
        <f>ROUNDUP(VLOOKUP(RIGHT(A19,1),テーブル!$F$3:$I$5,3,0)*C19,-1)</f>
        <v>19030</v>
      </c>
    </row>
    <row r="20" spans="1:7">
      <c r="A20" s="27" t="s">
        <v>33</v>
      </c>
      <c r="B20" s="20">
        <v>14</v>
      </c>
      <c r="C20" s="2">
        <v>102</v>
      </c>
      <c r="D20" s="48">
        <f>ROUNDDOWN(VLOOKUP(C20,テーブル!$A$4:$D$6,3,1)*0.93,-1)</f>
        <v>1680</v>
      </c>
      <c r="E20" s="32">
        <f t="shared" si="0"/>
        <v>171360</v>
      </c>
      <c r="F20" s="25">
        <f>ROUNDUP(VLOOKUP(RIGHT(A20,1),テーブル!$F$3:$I$5,3,0)*C20,-1)</f>
        <v>30810</v>
      </c>
    </row>
    <row r="21" spans="1:7">
      <c r="A21" s="27" t="s">
        <v>33</v>
      </c>
      <c r="B21" s="20">
        <v>15</v>
      </c>
      <c r="C21" s="2">
        <v>107</v>
      </c>
      <c r="D21" s="48">
        <f>ROUNDDOWN(VLOOKUP(C21,テーブル!$A$4:$D$6,3,1)*0.93,-1)</f>
        <v>1680</v>
      </c>
      <c r="E21" s="32">
        <f t="shared" si="0"/>
        <v>179760</v>
      </c>
      <c r="F21" s="25">
        <f>ROUNDUP(VLOOKUP(RIGHT(A21,1),テーブル!$F$3:$I$5,3,0)*C21,-1)</f>
        <v>32320</v>
      </c>
    </row>
    <row r="22" spans="1:7">
      <c r="A22" s="27" t="s">
        <v>35</v>
      </c>
      <c r="B22" s="20">
        <v>11</v>
      </c>
      <c r="C22" s="2">
        <v>59</v>
      </c>
      <c r="D22" s="48">
        <f>ROUNDDOWN(VLOOKUP(C22,テーブル!$A$4:$D$6,3,1)*0.93,-1)</f>
        <v>1720</v>
      </c>
      <c r="E22" s="32">
        <f t="shared" si="0"/>
        <v>101480</v>
      </c>
      <c r="F22" s="25">
        <f>ROUNDUP(VLOOKUP(RIGHT(A22,1),テーブル!$F$3:$I$5,3,0)*C22,-1)</f>
        <v>17170</v>
      </c>
    </row>
    <row r="23" spans="1:7">
      <c r="A23" s="27" t="s">
        <v>35</v>
      </c>
      <c r="B23" s="20">
        <v>12</v>
      </c>
      <c r="C23" s="2">
        <v>145</v>
      </c>
      <c r="D23" s="48">
        <f>ROUNDDOWN(VLOOKUP(C23,テーブル!$A$4:$D$6,3,1)*0.93,-1)</f>
        <v>1640</v>
      </c>
      <c r="E23" s="32">
        <f t="shared" si="0"/>
        <v>237800</v>
      </c>
      <c r="F23" s="25">
        <f>ROUNDUP(VLOOKUP(RIGHT(A23,1),テーブル!$F$3:$I$5,3,0)*C23,-1)</f>
        <v>42200</v>
      </c>
    </row>
    <row r="24" spans="1:7">
      <c r="A24" s="27" t="s">
        <v>35</v>
      </c>
      <c r="B24" s="20">
        <v>13</v>
      </c>
      <c r="C24" s="2">
        <v>97</v>
      </c>
      <c r="D24" s="48">
        <f>ROUNDDOWN(VLOOKUP(C24,テーブル!$A$4:$D$6,3,1)*0.93,-1)</f>
        <v>1680</v>
      </c>
      <c r="E24" s="32">
        <f t="shared" si="0"/>
        <v>162960</v>
      </c>
      <c r="F24" s="25">
        <f>ROUNDUP(VLOOKUP(RIGHT(A24,1),テーブル!$F$3:$I$5,3,0)*C24,-1)</f>
        <v>28230</v>
      </c>
    </row>
    <row r="25" spans="1:7">
      <c r="A25" s="27" t="s">
        <v>35</v>
      </c>
      <c r="B25" s="20">
        <v>14</v>
      </c>
      <c r="C25" s="2">
        <v>92</v>
      </c>
      <c r="D25" s="48">
        <f>ROUNDDOWN(VLOOKUP(C25,テーブル!$A$4:$D$6,3,1)*0.93,-1)</f>
        <v>1680</v>
      </c>
      <c r="E25" s="32">
        <f t="shared" si="0"/>
        <v>154560</v>
      </c>
      <c r="F25" s="25">
        <f>ROUNDUP(VLOOKUP(RIGHT(A25,1),テーブル!$F$3:$I$5,3,0)*C25,-1)</f>
        <v>26780</v>
      </c>
    </row>
    <row r="26" spans="1:7" ht="14.25" thickBot="1">
      <c r="A26" s="28" t="s">
        <v>35</v>
      </c>
      <c r="B26" s="29">
        <v>15</v>
      </c>
      <c r="C26" s="18">
        <v>147</v>
      </c>
      <c r="D26" s="49">
        <f>ROUNDDOWN(VLOOKUP(C26,テーブル!$A$4:$D$6,3,1)*0.93,-1)</f>
        <v>1640</v>
      </c>
      <c r="E26" s="33">
        <f t="shared" si="0"/>
        <v>241080</v>
      </c>
      <c r="F26" s="30">
        <f>ROUNDUP(VLOOKUP(RIGHT(A26,1),テーブル!$F$3:$I$5,3,0)*C26,-1)</f>
        <v>42780</v>
      </c>
      <c r="G26" s="59" t="s">
        <v>58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4DD83-2E29-4B10-BCE6-1F3E22B55342}">
  <dimension ref="A1:G26"/>
  <sheetViews>
    <sheetView workbookViewId="0"/>
  </sheetViews>
  <sheetFormatPr defaultRowHeight="13.5"/>
  <cols>
    <col min="1" max="1" width="7.5" bestFit="1" customWidth="1"/>
    <col min="2" max="2" width="7.5" customWidth="1"/>
    <col min="3" max="3" width="7.5" bestFit="1" customWidth="1"/>
    <col min="4" max="4" width="6.5" bestFit="1" customWidth="1"/>
    <col min="5" max="5" width="8.5" bestFit="1" customWidth="1"/>
    <col min="6" max="6" width="7.5" bestFit="1" customWidth="1"/>
  </cols>
  <sheetData>
    <row r="1" spans="1:6">
      <c r="A1" s="26" t="s">
        <v>9</v>
      </c>
      <c r="B1" s="23" t="s">
        <v>16</v>
      </c>
      <c r="C1" s="23" t="s">
        <v>17</v>
      </c>
      <c r="D1" s="31" t="s">
        <v>18</v>
      </c>
      <c r="E1" s="31" t="s">
        <v>19</v>
      </c>
      <c r="F1" s="24" t="s">
        <v>12</v>
      </c>
    </row>
    <row r="2" spans="1:6">
      <c r="A2" s="27" t="s">
        <v>27</v>
      </c>
      <c r="B2" s="20">
        <v>11</v>
      </c>
      <c r="C2" s="2">
        <v>105</v>
      </c>
      <c r="D2" s="48">
        <f>ROUNDDOWN(VLOOKUP(C2,テーブル!$A$4:$D$6,4,1)*0.93,-1)</f>
        <v>1760</v>
      </c>
      <c r="E2" s="32">
        <f t="shared" ref="E2:E26" si="0">D2*C2</f>
        <v>184800</v>
      </c>
      <c r="F2" s="25">
        <f>ROUNDUP(VLOOKUP(RIGHT(A2,1),テーブル!$F$3:$I$5,4,0)*C2,-1)</f>
        <v>31920</v>
      </c>
    </row>
    <row r="3" spans="1:6">
      <c r="A3" s="27" t="s">
        <v>27</v>
      </c>
      <c r="B3" s="20">
        <v>12</v>
      </c>
      <c r="C3" s="2">
        <v>80</v>
      </c>
      <c r="D3" s="48">
        <f>ROUNDDOWN(VLOOKUP(C3,テーブル!$A$4:$D$6,4,1)*0.93,-1)</f>
        <v>1800</v>
      </c>
      <c r="E3" s="32">
        <f t="shared" si="0"/>
        <v>144000</v>
      </c>
      <c r="F3" s="25">
        <f>ROUNDUP(VLOOKUP(RIGHT(A3,1),テーブル!$F$3:$I$5,4,0)*C3,-1)</f>
        <v>24320</v>
      </c>
    </row>
    <row r="4" spans="1:6">
      <c r="A4" s="27" t="s">
        <v>27</v>
      </c>
      <c r="B4" s="20">
        <v>13</v>
      </c>
      <c r="C4" s="2">
        <v>87</v>
      </c>
      <c r="D4" s="48">
        <f>ROUNDDOWN(VLOOKUP(C4,テーブル!$A$4:$D$6,4,1)*0.93,-1)</f>
        <v>1800</v>
      </c>
      <c r="E4" s="32">
        <f t="shared" si="0"/>
        <v>156600</v>
      </c>
      <c r="F4" s="25">
        <f>ROUNDUP(VLOOKUP(RIGHT(A4,1),テーブル!$F$3:$I$5,4,0)*C4,-1)</f>
        <v>26450</v>
      </c>
    </row>
    <row r="5" spans="1:6">
      <c r="A5" s="27" t="s">
        <v>27</v>
      </c>
      <c r="B5" s="20">
        <v>14</v>
      </c>
      <c r="C5" s="2">
        <v>101</v>
      </c>
      <c r="D5" s="48">
        <f>ROUNDDOWN(VLOOKUP(C5,テーブル!$A$4:$D$6,4,1)*0.93,-1)</f>
        <v>1760</v>
      </c>
      <c r="E5" s="32">
        <f t="shared" si="0"/>
        <v>177760</v>
      </c>
      <c r="F5" s="25">
        <f>ROUNDUP(VLOOKUP(RIGHT(A5,1),テーブル!$F$3:$I$5,4,0)*C5,-1)</f>
        <v>30710</v>
      </c>
    </row>
    <row r="6" spans="1:6">
      <c r="A6" s="27" t="s">
        <v>27</v>
      </c>
      <c r="B6" s="20">
        <v>15</v>
      </c>
      <c r="C6" s="2">
        <v>74</v>
      </c>
      <c r="D6" s="48">
        <f>ROUNDDOWN(VLOOKUP(C6,テーブル!$A$4:$D$6,4,1)*0.93,-1)</f>
        <v>1800</v>
      </c>
      <c r="E6" s="32">
        <f t="shared" si="0"/>
        <v>133200</v>
      </c>
      <c r="F6" s="25">
        <f>ROUNDUP(VLOOKUP(RIGHT(A6,1),テーブル!$F$3:$I$5,4,0)*C6,-1)</f>
        <v>22500</v>
      </c>
    </row>
    <row r="7" spans="1:6">
      <c r="A7" s="27" t="s">
        <v>29</v>
      </c>
      <c r="B7" s="20">
        <v>11</v>
      </c>
      <c r="C7" s="2">
        <v>134</v>
      </c>
      <c r="D7" s="48">
        <f>ROUNDDOWN(VLOOKUP(C7,テーブル!$A$4:$D$6,4,1)*0.93,-1)</f>
        <v>1720</v>
      </c>
      <c r="E7" s="32">
        <f t="shared" si="0"/>
        <v>230480</v>
      </c>
      <c r="F7" s="25">
        <f>ROUNDUP(VLOOKUP(RIGHT(A7,1),テーブル!$F$3:$I$5,4,0)*C7,-1)</f>
        <v>42210</v>
      </c>
    </row>
    <row r="8" spans="1:6">
      <c r="A8" s="27" t="s">
        <v>29</v>
      </c>
      <c r="B8" s="20">
        <v>12</v>
      </c>
      <c r="C8" s="2">
        <v>111</v>
      </c>
      <c r="D8" s="48">
        <f>ROUNDDOWN(VLOOKUP(C8,テーブル!$A$4:$D$6,4,1)*0.93,-1)</f>
        <v>1720</v>
      </c>
      <c r="E8" s="32">
        <f t="shared" si="0"/>
        <v>190920</v>
      </c>
      <c r="F8" s="25">
        <f>ROUNDUP(VLOOKUP(RIGHT(A8,1),テーブル!$F$3:$I$5,4,0)*C8,-1)</f>
        <v>34970</v>
      </c>
    </row>
    <row r="9" spans="1:6">
      <c r="A9" s="27" t="s">
        <v>29</v>
      </c>
      <c r="B9" s="20">
        <v>13</v>
      </c>
      <c r="C9" s="2">
        <v>82</v>
      </c>
      <c r="D9" s="48">
        <f>ROUNDDOWN(VLOOKUP(C9,テーブル!$A$4:$D$6,4,1)*0.93,-1)</f>
        <v>1800</v>
      </c>
      <c r="E9" s="32">
        <f t="shared" si="0"/>
        <v>147600</v>
      </c>
      <c r="F9" s="25">
        <f>ROUNDUP(VLOOKUP(RIGHT(A9,1),テーブル!$F$3:$I$5,4,0)*C9,-1)</f>
        <v>25830</v>
      </c>
    </row>
    <row r="10" spans="1:6">
      <c r="A10" s="27" t="s">
        <v>29</v>
      </c>
      <c r="B10" s="20">
        <v>14</v>
      </c>
      <c r="C10" s="2">
        <v>80</v>
      </c>
      <c r="D10" s="48">
        <f>ROUNDDOWN(VLOOKUP(C10,テーブル!$A$4:$D$6,4,1)*0.93,-1)</f>
        <v>1800</v>
      </c>
      <c r="E10" s="32">
        <f t="shared" si="0"/>
        <v>144000</v>
      </c>
      <c r="F10" s="25">
        <f>ROUNDUP(VLOOKUP(RIGHT(A10,1),テーブル!$F$3:$I$5,4,0)*C10,-1)</f>
        <v>25200</v>
      </c>
    </row>
    <row r="11" spans="1:6">
      <c r="A11" s="27" t="s">
        <v>29</v>
      </c>
      <c r="B11" s="20">
        <v>15</v>
      </c>
      <c r="C11" s="2">
        <v>84</v>
      </c>
      <c r="D11" s="48">
        <f>ROUNDDOWN(VLOOKUP(C11,テーブル!$A$4:$D$6,4,1)*0.93,-1)</f>
        <v>1800</v>
      </c>
      <c r="E11" s="32">
        <f t="shared" si="0"/>
        <v>151200</v>
      </c>
      <c r="F11" s="25">
        <f>ROUNDUP(VLOOKUP(RIGHT(A11,1),テーブル!$F$3:$I$5,4,0)*C11,-1)</f>
        <v>26460</v>
      </c>
    </row>
    <row r="12" spans="1:6">
      <c r="A12" s="27" t="s">
        <v>31</v>
      </c>
      <c r="B12" s="20">
        <v>11</v>
      </c>
      <c r="C12" s="2">
        <v>107</v>
      </c>
      <c r="D12" s="48">
        <f>ROUNDDOWN(VLOOKUP(C12,テーブル!$A$4:$D$6,4,1)*0.93,-1)</f>
        <v>1760</v>
      </c>
      <c r="E12" s="32">
        <f t="shared" si="0"/>
        <v>188320</v>
      </c>
      <c r="F12" s="25">
        <f>ROUNDUP(VLOOKUP(RIGHT(A12,1),テーブル!$F$3:$I$5,4,0)*C12,-1)</f>
        <v>31360</v>
      </c>
    </row>
    <row r="13" spans="1:6">
      <c r="A13" s="27" t="s">
        <v>31</v>
      </c>
      <c r="B13" s="20">
        <v>12</v>
      </c>
      <c r="C13" s="2">
        <v>131</v>
      </c>
      <c r="D13" s="48">
        <f>ROUNDDOWN(VLOOKUP(C13,テーブル!$A$4:$D$6,4,1)*0.93,-1)</f>
        <v>1720</v>
      </c>
      <c r="E13" s="32">
        <f t="shared" si="0"/>
        <v>225320</v>
      </c>
      <c r="F13" s="25">
        <f>ROUNDUP(VLOOKUP(RIGHT(A13,1),テーブル!$F$3:$I$5,4,0)*C13,-1)</f>
        <v>38390</v>
      </c>
    </row>
    <row r="14" spans="1:6">
      <c r="A14" s="27" t="s">
        <v>31</v>
      </c>
      <c r="B14" s="20">
        <v>13</v>
      </c>
      <c r="C14" s="2">
        <v>69</v>
      </c>
      <c r="D14" s="48">
        <f>ROUNDDOWN(VLOOKUP(C14,テーブル!$A$4:$D$6,4,1)*0.93,-1)</f>
        <v>1800</v>
      </c>
      <c r="E14" s="32">
        <f t="shared" si="0"/>
        <v>124200</v>
      </c>
      <c r="F14" s="25">
        <f>ROUNDUP(VLOOKUP(RIGHT(A14,1),テーブル!$F$3:$I$5,4,0)*C14,-1)</f>
        <v>20220</v>
      </c>
    </row>
    <row r="15" spans="1:6">
      <c r="A15" s="27" t="s">
        <v>31</v>
      </c>
      <c r="B15" s="20">
        <v>14</v>
      </c>
      <c r="C15" s="2">
        <v>139</v>
      </c>
      <c r="D15" s="48">
        <f>ROUNDDOWN(VLOOKUP(C15,テーブル!$A$4:$D$6,4,1)*0.93,-1)</f>
        <v>1720</v>
      </c>
      <c r="E15" s="32">
        <f t="shared" si="0"/>
        <v>239080</v>
      </c>
      <c r="F15" s="25">
        <f>ROUNDUP(VLOOKUP(RIGHT(A15,1),テーブル!$F$3:$I$5,4,0)*C15,-1)</f>
        <v>40730</v>
      </c>
    </row>
    <row r="16" spans="1:6">
      <c r="A16" s="27" t="s">
        <v>31</v>
      </c>
      <c r="B16" s="20">
        <v>15</v>
      </c>
      <c r="C16" s="2">
        <v>118</v>
      </c>
      <c r="D16" s="48">
        <f>ROUNDDOWN(VLOOKUP(C16,テーブル!$A$4:$D$6,4,1)*0.93,-1)</f>
        <v>1720</v>
      </c>
      <c r="E16" s="32">
        <f t="shared" si="0"/>
        <v>202960</v>
      </c>
      <c r="F16" s="25">
        <f>ROUNDUP(VLOOKUP(RIGHT(A16,1),テーブル!$F$3:$I$5,4,0)*C16,-1)</f>
        <v>34580</v>
      </c>
    </row>
    <row r="17" spans="1:7">
      <c r="A17" s="27" t="s">
        <v>33</v>
      </c>
      <c r="B17" s="20">
        <v>11</v>
      </c>
      <c r="C17" s="2">
        <v>127</v>
      </c>
      <c r="D17" s="48">
        <f>ROUNDDOWN(VLOOKUP(C17,テーブル!$A$4:$D$6,4,1)*0.93,-1)</f>
        <v>1720</v>
      </c>
      <c r="E17" s="32">
        <f t="shared" si="0"/>
        <v>218440</v>
      </c>
      <c r="F17" s="25">
        <f>ROUNDUP(VLOOKUP(RIGHT(A17,1),テーブル!$F$3:$I$5,4,0)*C17,-1)</f>
        <v>40010</v>
      </c>
    </row>
    <row r="18" spans="1:7">
      <c r="A18" s="27" t="s">
        <v>33</v>
      </c>
      <c r="B18" s="20">
        <v>12</v>
      </c>
      <c r="C18" s="2">
        <v>129</v>
      </c>
      <c r="D18" s="48">
        <f>ROUNDDOWN(VLOOKUP(C18,テーブル!$A$4:$D$6,4,1)*0.93,-1)</f>
        <v>1720</v>
      </c>
      <c r="E18" s="32">
        <f t="shared" si="0"/>
        <v>221880</v>
      </c>
      <c r="F18" s="25">
        <f>ROUNDUP(VLOOKUP(RIGHT(A18,1),テーブル!$F$3:$I$5,4,0)*C18,-1)</f>
        <v>40640</v>
      </c>
    </row>
    <row r="19" spans="1:7">
      <c r="A19" s="27" t="s">
        <v>33</v>
      </c>
      <c r="B19" s="20">
        <v>13</v>
      </c>
      <c r="C19" s="2">
        <v>125</v>
      </c>
      <c r="D19" s="48">
        <f>ROUNDDOWN(VLOOKUP(C19,テーブル!$A$4:$D$6,4,1)*0.93,-1)</f>
        <v>1720</v>
      </c>
      <c r="E19" s="32">
        <f t="shared" si="0"/>
        <v>215000</v>
      </c>
      <c r="F19" s="25">
        <f>ROUNDUP(VLOOKUP(RIGHT(A19,1),テーブル!$F$3:$I$5,4,0)*C19,-1)</f>
        <v>39380</v>
      </c>
    </row>
    <row r="20" spans="1:7">
      <c r="A20" s="27" t="s">
        <v>33</v>
      </c>
      <c r="B20" s="20">
        <v>14</v>
      </c>
      <c r="C20" s="2">
        <v>92</v>
      </c>
      <c r="D20" s="48">
        <f>ROUNDDOWN(VLOOKUP(C20,テーブル!$A$4:$D$6,4,1)*0.93,-1)</f>
        <v>1760</v>
      </c>
      <c r="E20" s="32">
        <f t="shared" si="0"/>
        <v>161920</v>
      </c>
      <c r="F20" s="25">
        <f>ROUNDUP(VLOOKUP(RIGHT(A20,1),テーブル!$F$3:$I$5,4,0)*C20,-1)</f>
        <v>28980</v>
      </c>
    </row>
    <row r="21" spans="1:7">
      <c r="A21" s="27" t="s">
        <v>33</v>
      </c>
      <c r="B21" s="20">
        <v>15</v>
      </c>
      <c r="C21" s="2">
        <v>129</v>
      </c>
      <c r="D21" s="48">
        <f>ROUNDDOWN(VLOOKUP(C21,テーブル!$A$4:$D$6,4,1)*0.93,-1)</f>
        <v>1720</v>
      </c>
      <c r="E21" s="32">
        <f t="shared" si="0"/>
        <v>221880</v>
      </c>
      <c r="F21" s="25">
        <f>ROUNDUP(VLOOKUP(RIGHT(A21,1),テーブル!$F$3:$I$5,4,0)*C21,-1)</f>
        <v>40640</v>
      </c>
    </row>
    <row r="22" spans="1:7">
      <c r="A22" s="27" t="s">
        <v>35</v>
      </c>
      <c r="B22" s="20">
        <v>11</v>
      </c>
      <c r="C22" s="2">
        <v>127</v>
      </c>
      <c r="D22" s="48">
        <f>ROUNDDOWN(VLOOKUP(C22,テーブル!$A$4:$D$6,4,1)*0.93,-1)</f>
        <v>1720</v>
      </c>
      <c r="E22" s="32">
        <f t="shared" si="0"/>
        <v>218440</v>
      </c>
      <c r="F22" s="25">
        <f>ROUNDUP(VLOOKUP(RIGHT(A22,1),テーブル!$F$3:$I$5,4,0)*C22,-1)</f>
        <v>38610</v>
      </c>
    </row>
    <row r="23" spans="1:7">
      <c r="A23" s="27" t="s">
        <v>35</v>
      </c>
      <c r="B23" s="20">
        <v>12</v>
      </c>
      <c r="C23" s="2">
        <v>90</v>
      </c>
      <c r="D23" s="48">
        <f>ROUNDDOWN(VLOOKUP(C23,テーブル!$A$4:$D$6,4,1)*0.93,-1)</f>
        <v>1760</v>
      </c>
      <c r="E23" s="32">
        <f t="shared" si="0"/>
        <v>158400</v>
      </c>
      <c r="F23" s="25">
        <f>ROUNDUP(VLOOKUP(RIGHT(A23,1),テーブル!$F$3:$I$5,4,0)*C23,-1)</f>
        <v>27360</v>
      </c>
    </row>
    <row r="24" spans="1:7">
      <c r="A24" s="27" t="s">
        <v>35</v>
      </c>
      <c r="B24" s="20">
        <v>13</v>
      </c>
      <c r="C24" s="2">
        <v>140</v>
      </c>
      <c r="D24" s="48">
        <f>ROUNDDOWN(VLOOKUP(C24,テーブル!$A$4:$D$6,4,1)*0.93,-1)</f>
        <v>1720</v>
      </c>
      <c r="E24" s="32">
        <f t="shared" si="0"/>
        <v>240800</v>
      </c>
      <c r="F24" s="25">
        <f>ROUNDUP(VLOOKUP(RIGHT(A24,1),テーブル!$F$3:$I$5,4,0)*C24,-1)</f>
        <v>42560</v>
      </c>
    </row>
    <row r="25" spans="1:7">
      <c r="A25" s="27" t="s">
        <v>35</v>
      </c>
      <c r="B25" s="20">
        <v>14</v>
      </c>
      <c r="C25" s="2">
        <v>122</v>
      </c>
      <c r="D25" s="48">
        <f>ROUNDDOWN(VLOOKUP(C25,テーブル!$A$4:$D$6,4,1)*0.93,-1)</f>
        <v>1720</v>
      </c>
      <c r="E25" s="32">
        <f t="shared" si="0"/>
        <v>209840</v>
      </c>
      <c r="F25" s="25">
        <f>ROUNDUP(VLOOKUP(RIGHT(A25,1),テーブル!$F$3:$I$5,4,0)*C25,-1)</f>
        <v>37090</v>
      </c>
    </row>
    <row r="26" spans="1:7" ht="14.25" thickBot="1">
      <c r="A26" s="28" t="s">
        <v>35</v>
      </c>
      <c r="B26" s="29">
        <v>15</v>
      </c>
      <c r="C26" s="18">
        <v>67</v>
      </c>
      <c r="D26" s="49">
        <f>ROUNDDOWN(VLOOKUP(C26,テーブル!$A$4:$D$6,4,1)*0.93,-1)</f>
        <v>1800</v>
      </c>
      <c r="E26" s="33">
        <f t="shared" si="0"/>
        <v>120600</v>
      </c>
      <c r="F26" s="30">
        <f>ROUNDUP(VLOOKUP(RIGHT(A26,1),テーブル!$F$3:$I$5,4,0)*C26,-1)</f>
        <v>20370</v>
      </c>
      <c r="G26" s="59" t="s">
        <v>58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37"/>
  <sheetViews>
    <sheetView zoomScaleNormal="100" workbookViewId="0">
      <selection sqref="A1:H1"/>
    </sheetView>
  </sheetViews>
  <sheetFormatPr defaultRowHeight="13.5"/>
  <cols>
    <col min="1" max="1" width="7.5" bestFit="1" customWidth="1"/>
    <col min="2" max="2" width="11.625" bestFit="1" customWidth="1"/>
    <col min="3" max="4" width="8.5" bestFit="1" customWidth="1"/>
    <col min="5" max="5" width="8.5" customWidth="1"/>
    <col min="6" max="6" width="9.5" bestFit="1" customWidth="1"/>
    <col min="7" max="7" width="7.5" bestFit="1" customWidth="1"/>
    <col min="8" max="8" width="10.5" bestFit="1" customWidth="1"/>
    <col min="9" max="9" width="10.5" customWidth="1"/>
    <col min="10" max="10" width="7.5" bestFit="1" customWidth="1"/>
    <col min="11" max="11" width="11.625" customWidth="1"/>
    <col min="12" max="13" width="7.5" bestFit="1" customWidth="1"/>
    <col min="14" max="14" width="7.5" customWidth="1"/>
    <col min="15" max="15" width="9.5" bestFit="1" customWidth="1"/>
    <col min="16" max="18" width="10.5" bestFit="1" customWidth="1"/>
    <col min="19" max="19" width="11.625" bestFit="1" customWidth="1"/>
    <col min="20" max="20" width="8.5" bestFit="1" customWidth="1"/>
    <col min="21" max="21" width="11.625" bestFit="1" customWidth="1"/>
    <col min="22" max="22" width="7.5" bestFit="1" customWidth="1"/>
    <col min="23" max="23" width="5.5" bestFit="1" customWidth="1"/>
    <col min="24" max="24" width="10.5" customWidth="1"/>
  </cols>
  <sheetData>
    <row r="1" spans="1:24" ht="14.25" thickBot="1">
      <c r="A1" s="67" t="s">
        <v>1</v>
      </c>
      <c r="B1" s="67"/>
      <c r="C1" s="67"/>
      <c r="D1" s="67"/>
      <c r="E1" s="67"/>
      <c r="F1" s="67"/>
      <c r="G1" s="67"/>
      <c r="H1" s="67"/>
      <c r="I1" s="17"/>
      <c r="J1" s="67" t="s">
        <v>41</v>
      </c>
      <c r="K1" s="67"/>
      <c r="L1" s="67"/>
      <c r="M1" s="67"/>
      <c r="N1" s="67"/>
      <c r="O1" s="67"/>
      <c r="P1" s="67"/>
      <c r="Q1" s="67"/>
      <c r="R1" s="67"/>
      <c r="S1" s="67"/>
      <c r="T1" s="67"/>
      <c r="U1" s="68"/>
      <c r="V1" s="67"/>
      <c r="W1" s="67"/>
    </row>
    <row r="2" spans="1:24">
      <c r="A2" s="38"/>
      <c r="B2" s="39"/>
      <c r="C2" s="61" t="s">
        <v>11</v>
      </c>
      <c r="D2" s="62"/>
      <c r="E2" s="63"/>
      <c r="F2" s="39"/>
      <c r="G2" s="39"/>
      <c r="H2" s="40"/>
      <c r="I2" s="34"/>
      <c r="J2" s="38"/>
      <c r="K2" s="39"/>
      <c r="L2" s="64" t="s">
        <v>17</v>
      </c>
      <c r="M2" s="65"/>
      <c r="N2" s="66"/>
      <c r="O2" s="39"/>
      <c r="P2" s="61" t="s">
        <v>19</v>
      </c>
      <c r="Q2" s="62"/>
      <c r="R2" s="63"/>
      <c r="S2" s="43"/>
      <c r="T2" s="39"/>
      <c r="U2" s="39"/>
      <c r="V2" s="51"/>
      <c r="W2" s="40"/>
    </row>
    <row r="3" spans="1:24">
      <c r="A3" s="35" t="s">
        <v>2</v>
      </c>
      <c r="B3" s="36" t="s">
        <v>3</v>
      </c>
      <c r="C3" s="1" t="s">
        <v>21</v>
      </c>
      <c r="D3" s="1" t="s">
        <v>22</v>
      </c>
      <c r="E3" s="1" t="s">
        <v>55</v>
      </c>
      <c r="F3" s="36" t="s">
        <v>56</v>
      </c>
      <c r="G3" s="36" t="s">
        <v>4</v>
      </c>
      <c r="H3" s="37" t="s">
        <v>5</v>
      </c>
      <c r="I3" s="34"/>
      <c r="J3" s="35" t="s">
        <v>16</v>
      </c>
      <c r="K3" s="36" t="s">
        <v>40</v>
      </c>
      <c r="L3" s="1" t="s">
        <v>21</v>
      </c>
      <c r="M3" s="1" t="s">
        <v>22</v>
      </c>
      <c r="N3" s="1" t="s">
        <v>55</v>
      </c>
      <c r="O3" s="36" t="s">
        <v>57</v>
      </c>
      <c r="P3" s="1" t="s">
        <v>21</v>
      </c>
      <c r="Q3" s="1" t="s">
        <v>22</v>
      </c>
      <c r="R3" s="1" t="s">
        <v>55</v>
      </c>
      <c r="S3" s="42" t="s">
        <v>37</v>
      </c>
      <c r="T3" s="36" t="s">
        <v>13</v>
      </c>
      <c r="U3" s="36" t="s">
        <v>14</v>
      </c>
      <c r="V3" s="52" t="s">
        <v>15</v>
      </c>
      <c r="W3" s="37" t="s">
        <v>42</v>
      </c>
    </row>
    <row r="4" spans="1:24">
      <c r="A4" s="4" t="s">
        <v>35</v>
      </c>
      <c r="B4" s="2" t="str">
        <f>VLOOKUP(A4,テーブル!$K$3:$L$7,2,0)</f>
        <v>山田　公平</v>
      </c>
      <c r="C4" s="3">
        <f ca="1">DSUM(INDIRECT(C$3&amp;"!$A$1:$F$26"),$C$2,$E$12:$E$13)</f>
        <v>146020</v>
      </c>
      <c r="D4" s="3">
        <f ca="1">DSUM(INDIRECT(D$3&amp;"!$A$1:$F$26"),$C$2,$E$12:$E$13)</f>
        <v>157160</v>
      </c>
      <c r="E4" s="3">
        <f ca="1">DSUM(INDIRECT(E$3&amp;"!$A$1:$F$26"),$C$2,$E$12:$E$13)</f>
        <v>165990</v>
      </c>
      <c r="F4" s="3">
        <f ca="1">ROUNDDOWN((C4+D4+E4)*8.6%,-1)</f>
        <v>40340</v>
      </c>
      <c r="G4" s="3">
        <f ca="1">MOD(C4+D4+E4+F4,1000)</f>
        <v>510</v>
      </c>
      <c r="H4" s="5">
        <f ca="1">C4+D4+E4+F4-G4</f>
        <v>509000</v>
      </c>
      <c r="I4" s="16"/>
      <c r="J4" s="4">
        <v>11</v>
      </c>
      <c r="K4" s="2" t="str">
        <f>VLOOKUP(J4,テーブル!$N$3:$P$7,2,0)</f>
        <v>南部百貨店</v>
      </c>
      <c r="L4" s="3">
        <f ca="1">DSUM(INDIRECT(L$3&amp;"!$A$1:$F$26"),$L$2,$J$12:$J$13)</f>
        <v>446</v>
      </c>
      <c r="M4" s="3">
        <f ca="1">DSUM(INDIRECT(M$3&amp;"!$A$1:$F$26"),$L$2,$J$12:$J$13)</f>
        <v>520</v>
      </c>
      <c r="N4" s="3">
        <f ca="1">DSUM(INDIRECT(N$3&amp;"!$A$1:$F$26"),$L$2,$J$12:$J$13)</f>
        <v>600</v>
      </c>
      <c r="O4" s="3">
        <f ca="1">L4+M4+N4</f>
        <v>1566</v>
      </c>
      <c r="P4" s="3">
        <f ca="1">DSUM(INDIRECT(P$3&amp;"!$A$1:$F$26"),$P$2,$J$12:$J$13)</f>
        <v>718620</v>
      </c>
      <c r="Q4" s="3">
        <f ca="1">DSUM(INDIRECT(Q$3&amp;"!$A$1:$F$26"),$P$2,$J$12:$J$13)</f>
        <v>862800</v>
      </c>
      <c r="R4" s="3">
        <f ca="1">DSUM(INDIRECT(R$3&amp;"!$A$1:$F$26"),$P$2,$J$12:$J$13)</f>
        <v>1040480</v>
      </c>
      <c r="S4" s="3">
        <f ca="1">P4+Q4+R4</f>
        <v>2621900</v>
      </c>
      <c r="T4" s="15">
        <f ca="1">ROUNDDOWN(IF(S4&gt;=2550000,S4*4.7%,S4*3.9%),-2)</f>
        <v>123200</v>
      </c>
      <c r="U4" s="3">
        <f ca="1">S4-T4</f>
        <v>2498700</v>
      </c>
      <c r="V4" s="53">
        <f ca="1">ROUNDUP(O4/VLOOKUP(J4,テーブル!$N$3:$P$7,3,0),3)</f>
        <v>0.96699999999999997</v>
      </c>
      <c r="W4" s="5" t="str">
        <f ca="1">IF(OR(O4&gt;=1530,V4&gt;=100%),"良好","")</f>
        <v>良好</v>
      </c>
    </row>
    <row r="5" spans="1:24">
      <c r="A5" s="4" t="s">
        <v>33</v>
      </c>
      <c r="B5" s="2" t="str">
        <f>VLOOKUP(A5,テーブル!$K$3:$L$7,2,0)</f>
        <v>杉山　春美</v>
      </c>
      <c r="C5" s="3">
        <f ca="1">DSUM(INDIRECT(C$3&amp;"!$A$1:$F$26"),$C$2,$D$12:$D$13)</f>
        <v>128890</v>
      </c>
      <c r="D5" s="3">
        <f ca="1">DSUM(INDIRECT(D$3&amp;"!$A$1:$F$26"),$C$2,$D$12:$D$13)</f>
        <v>148910</v>
      </c>
      <c r="E5" s="3">
        <f ca="1">DSUM(INDIRECT(E$3&amp;"!$A$1:$F$26"),$C$2,$D$12:$D$13)</f>
        <v>189650</v>
      </c>
      <c r="F5" s="3">
        <f ca="1">ROUNDDOWN((C5+D5+E5)*8.6%,-1)</f>
        <v>40200</v>
      </c>
      <c r="G5" s="3">
        <f ca="1">MOD(C5+D5+E5+F5,1000)</f>
        <v>650</v>
      </c>
      <c r="H5" s="5">
        <f ca="1">C5+D5+E5+F5-G5</f>
        <v>507000</v>
      </c>
      <c r="I5" s="16"/>
      <c r="J5" s="4">
        <v>12</v>
      </c>
      <c r="K5" s="2" t="str">
        <f>VLOOKUP(J5,テーブル!$N$3:$P$7,2,0)</f>
        <v>中央ストア</v>
      </c>
      <c r="L5" s="3">
        <f ca="1">DSUM(INDIRECT(L$3&amp;"!$A$1:$F$26"),$L$2,$K$12:$K$13)</f>
        <v>483</v>
      </c>
      <c r="M5" s="3">
        <f ca="1">DSUM(INDIRECT(M$3&amp;"!$A$1:$F$26"),$L$2,$K$12:$K$13)</f>
        <v>502</v>
      </c>
      <c r="N5" s="3">
        <f ca="1">DSUM(INDIRECT(N$3&amp;"!$A$1:$F$26"),$L$2,$K$12:$K$13)</f>
        <v>541</v>
      </c>
      <c r="O5" s="3">
        <f t="shared" ref="O5:O8" ca="1" si="0">L5+M5+N5</f>
        <v>1526</v>
      </c>
      <c r="P5" s="3">
        <f ca="1">DSUM(INDIRECT(P$3&amp;"!$A$1:$F$26"),$P$2,$K$12:$K$13)</f>
        <v>767830</v>
      </c>
      <c r="Q5" s="3">
        <f ca="1">DSUM(INDIRECT(Q$3&amp;"!$A$1:$F$26"),$P$2,$K$12:$K$13)</f>
        <v>838760</v>
      </c>
      <c r="R5" s="3">
        <f ca="1">DSUM(INDIRECT(R$3&amp;"!$A$1:$F$26"),$P$2,$K$12:$K$13)</f>
        <v>940520</v>
      </c>
      <c r="S5" s="3">
        <f t="shared" ref="S5:S8" ca="1" si="1">P5+Q5+R5</f>
        <v>2547110</v>
      </c>
      <c r="T5" s="15">
        <f ca="1">ROUNDDOWN(IF(S5&gt;=2550000,S5*4.7%,S5*3.9%),-2)</f>
        <v>99300</v>
      </c>
      <c r="U5" s="3">
        <f ca="1">S5-T5</f>
        <v>2447810</v>
      </c>
      <c r="V5" s="53">
        <f ca="1">ROUNDUP(O5/VLOOKUP(J5,テーブル!$N$3:$P$7,3,0),3)</f>
        <v>1.0039999999999998</v>
      </c>
      <c r="W5" s="5" t="str">
        <f t="shared" ref="W5:W8" ca="1" si="2">IF(OR(O5&gt;=1530,V5&gt;=100%),"良好","")</f>
        <v>良好</v>
      </c>
    </row>
    <row r="6" spans="1:24">
      <c r="A6" s="4" t="s">
        <v>29</v>
      </c>
      <c r="B6" s="2" t="str">
        <f>VLOOKUP(A6,テーブル!$K$3:$L$7,2,0)</f>
        <v>南　かおり</v>
      </c>
      <c r="C6" s="3">
        <f ca="1">DSUM(INDIRECT(C$3&amp;"!$A$1:$F$26"),$C$2,$B$12:$B$13)</f>
        <v>161610</v>
      </c>
      <c r="D6" s="3">
        <f ca="1">DSUM(INDIRECT(D$3&amp;"!$A$1:$F$26"),$C$2,$B$12:$B$13)</f>
        <v>145280</v>
      </c>
      <c r="E6" s="3">
        <f ca="1">DSUM(INDIRECT(E$3&amp;"!$A$1:$F$26"),$C$2,$B$12:$B$13)</f>
        <v>154670</v>
      </c>
      <c r="F6" s="3">
        <f ca="1">ROUNDDOWN((C6+D6+E6)*8.6%,-1)</f>
        <v>39690</v>
      </c>
      <c r="G6" s="3">
        <f ca="1">MOD(C6+D6+E6+F6,1000)</f>
        <v>250</v>
      </c>
      <c r="H6" s="5">
        <f ca="1">C6+D6+E6+F6-G6</f>
        <v>501000</v>
      </c>
      <c r="I6" s="16"/>
      <c r="J6" s="4">
        <v>13</v>
      </c>
      <c r="K6" s="2" t="str">
        <f>VLOOKUP(J6,テーブル!$N$3:$P$7,2,0)</f>
        <v>新日本総業</v>
      </c>
      <c r="L6" s="3">
        <f ca="1">DSUM(INDIRECT(L$3&amp;"!$A$1:$F$26"),$L$2,$L$12:$L$13)</f>
        <v>574</v>
      </c>
      <c r="M6" s="3">
        <f ca="1">DSUM(INDIRECT(M$3&amp;"!$A$1:$F$26"),$L$2,$L$12:$L$13)</f>
        <v>433</v>
      </c>
      <c r="N6" s="3">
        <f ca="1">DSUM(INDIRECT(N$3&amp;"!$A$1:$F$26"),$L$2,$L$12:$L$13)</f>
        <v>503</v>
      </c>
      <c r="O6" s="3">
        <f t="shared" ca="1" si="0"/>
        <v>1510</v>
      </c>
      <c r="P6" s="3">
        <f ca="1">DSUM(INDIRECT(P$3&amp;"!$A$1:$F$26"),$P$2,$L$12:$L$13)</f>
        <v>906220</v>
      </c>
      <c r="Q6" s="3">
        <f ca="1">DSUM(INDIRECT(Q$3&amp;"!$A$1:$F$26"),$P$2,$L$12:$L$13)</f>
        <v>728000</v>
      </c>
      <c r="R6" s="3">
        <f ca="1">DSUM(INDIRECT(R$3&amp;"!$A$1:$F$26"),$P$2,$L$12:$L$13)</f>
        <v>884200</v>
      </c>
      <c r="S6" s="3">
        <f t="shared" ca="1" si="1"/>
        <v>2518420</v>
      </c>
      <c r="T6" s="15">
        <f ca="1">ROUNDDOWN(IF(S6&gt;=2550000,S6*4.7%,S6*3.9%),-2)</f>
        <v>98200</v>
      </c>
      <c r="U6" s="3">
        <f ca="1">S6-T6</f>
        <v>2420220</v>
      </c>
      <c r="V6" s="53">
        <f ca="1">ROUNDUP(O6/VLOOKUP(J6,テーブル!$N$3:$P$7,3,0),3)</f>
        <v>0.96199999999999997</v>
      </c>
      <c r="W6" s="5" t="str">
        <f t="shared" ca="1" si="2"/>
        <v/>
      </c>
    </row>
    <row r="7" spans="1:24">
      <c r="A7" s="4" t="s">
        <v>31</v>
      </c>
      <c r="B7" s="2" t="str">
        <f>VLOOKUP(A7,テーブル!$K$3:$L$7,2,0)</f>
        <v>久保田　光</v>
      </c>
      <c r="C7" s="3">
        <f ca="1">DSUM(INDIRECT(C$3&amp;"!$A$1:$F$26"),$C$2,$C$12:$C$13)</f>
        <v>115820</v>
      </c>
      <c r="D7" s="3">
        <f ca="1">DSUM(INDIRECT(D$3&amp;"!$A$1:$F$26"),$C$2,$C$12:$C$13)</f>
        <v>144820</v>
      </c>
      <c r="E7" s="3">
        <f ca="1">DSUM(INDIRECT(E$3&amp;"!$A$1:$F$26"),$C$2,$C$12:$C$13)</f>
        <v>165280</v>
      </c>
      <c r="F7" s="3">
        <f ca="1">ROUNDDOWN((C7+D7+E7)*8.6%,-1)</f>
        <v>36620</v>
      </c>
      <c r="G7" s="3">
        <f ca="1">MOD(C7+D7+E7+F7,1000)</f>
        <v>540</v>
      </c>
      <c r="H7" s="5">
        <f ca="1">C7+D7+E7+F7-G7</f>
        <v>462000</v>
      </c>
      <c r="I7" s="16"/>
      <c r="J7" s="4">
        <v>14</v>
      </c>
      <c r="K7" s="2" t="str">
        <f>VLOOKUP(J7,テーブル!$N$3:$P$7,2,0)</f>
        <v>さくら物産</v>
      </c>
      <c r="L7" s="3">
        <f ca="1">DSUM(INDIRECT(L$3&amp;"!$A$1:$F$26"),$L$2,$M$12:$M$13)</f>
        <v>478</v>
      </c>
      <c r="M7" s="3">
        <f ca="1">DSUM(INDIRECT(M$3&amp;"!$A$1:$F$26"),$L$2,$M$12:$M$13)</f>
        <v>518</v>
      </c>
      <c r="N7" s="3">
        <f ca="1">DSUM(INDIRECT(N$3&amp;"!$A$1:$F$26"),$L$2,$M$12:$M$13)</f>
        <v>534</v>
      </c>
      <c r="O7" s="3">
        <f t="shared" ca="1" si="0"/>
        <v>1530</v>
      </c>
      <c r="P7" s="3">
        <f ca="1">DSUM(INDIRECT(P$3&amp;"!$A$1:$F$26"),$P$2,$M$12:$M$13)</f>
        <v>766770</v>
      </c>
      <c r="Q7" s="3">
        <f ca="1">DSUM(INDIRECT(Q$3&amp;"!$A$1:$F$26"),$P$2,$M$12:$M$13)</f>
        <v>868160</v>
      </c>
      <c r="R7" s="3">
        <f ca="1">DSUM(INDIRECT(R$3&amp;"!$A$1:$F$26"),$P$2,$M$12:$M$13)</f>
        <v>932600</v>
      </c>
      <c r="S7" s="3">
        <f t="shared" ca="1" si="1"/>
        <v>2567530</v>
      </c>
      <c r="T7" s="15">
        <f ca="1">ROUNDDOWN(IF(S7&gt;=2550000,S7*4.7%,S7*3.9%),-2)</f>
        <v>120600</v>
      </c>
      <c r="U7" s="3">
        <f ca="1">S7-T7</f>
        <v>2446930</v>
      </c>
      <c r="V7" s="53">
        <f ca="1">ROUNDUP(O7/VLOOKUP(J7,テーブル!$N$3:$P$7,3,0),3)</f>
        <v>0.96299999999999997</v>
      </c>
      <c r="W7" s="5" t="str">
        <f t="shared" ca="1" si="2"/>
        <v>良好</v>
      </c>
    </row>
    <row r="8" spans="1:24">
      <c r="A8" s="4" t="s">
        <v>27</v>
      </c>
      <c r="B8" s="2" t="str">
        <f>VLOOKUP(A8,テーブル!$K$3:$L$7,2,0)</f>
        <v>大川　英樹</v>
      </c>
      <c r="C8" s="3">
        <f ca="1">DSUM(INDIRECT(C$3&amp;"!$A$1:$F$26"),$C$2,$A$12:$A$13)</f>
        <v>154030</v>
      </c>
      <c r="D8" s="3">
        <f ca="1">DSUM(INDIRECT(D$3&amp;"!$A$1:$F$26"),$C$2,$A$12:$A$13)</f>
        <v>128940</v>
      </c>
      <c r="E8" s="3">
        <f ca="1">DSUM(INDIRECT(E$3&amp;"!$A$1:$F$26"),$C$2,$A$12:$A$13)</f>
        <v>135900</v>
      </c>
      <c r="F8" s="3">
        <f ca="1">ROUNDDOWN((C8+D8+E8)*8.6%,-1)</f>
        <v>36020</v>
      </c>
      <c r="G8" s="3">
        <f ca="1">MOD(C8+D8+E8+F8,1000)</f>
        <v>890</v>
      </c>
      <c r="H8" s="5">
        <f ca="1">C8+D8+E8+F8-G8</f>
        <v>454000</v>
      </c>
      <c r="J8" s="4">
        <v>15</v>
      </c>
      <c r="K8" s="2" t="str">
        <f>VLOOKUP(J8,テーブル!$N$3:$P$7,2,0)</f>
        <v>ＳＤＫ商事</v>
      </c>
      <c r="L8" s="3">
        <f ca="1">DSUM(INDIRECT(L$3&amp;"!$A$1:$F$26"),$L$2,$N$12:$N$13)</f>
        <v>555</v>
      </c>
      <c r="M8" s="3">
        <f ca="1">DSUM(INDIRECT(M$3&amp;"!$A$1:$F$26"),$L$2,$N$12:$N$13)</f>
        <v>503</v>
      </c>
      <c r="N8" s="3">
        <f ca="1">DSUM(INDIRECT(N$3&amp;"!$A$1:$F$26"),$L$2,$N$12:$N$13)</f>
        <v>472</v>
      </c>
      <c r="O8" s="3">
        <f t="shared" ca="1" si="0"/>
        <v>1530</v>
      </c>
      <c r="P8" s="3">
        <f ca="1">DSUM(INDIRECT(P$3&amp;"!$A$1:$F$26"),$P$2,$N$12:$N$13)</f>
        <v>874590</v>
      </c>
      <c r="Q8" s="3">
        <f ca="1">DSUM(INDIRECT(Q$3&amp;"!$A$1:$F$26"),$P$2,$N$12:$N$13)</f>
        <v>841120</v>
      </c>
      <c r="R8" s="3">
        <f ca="1">DSUM(INDIRECT(R$3&amp;"!$A$1:$F$26"),$P$2,$N$12:$N$13)</f>
        <v>829840</v>
      </c>
      <c r="S8" s="3">
        <f t="shared" ca="1" si="1"/>
        <v>2545550</v>
      </c>
      <c r="T8" s="15">
        <f ca="1">ROUNDDOWN(IF(S8&gt;=2550000,S8*4.7%,S8*3.9%),-2)</f>
        <v>99200</v>
      </c>
      <c r="U8" s="3">
        <f ca="1">S8-T8</f>
        <v>2446350</v>
      </c>
      <c r="V8" s="53">
        <f ca="1">ROUNDUP(O8/VLOOKUP(J8,テーブル!$N$3:$P$7,3,0),3)</f>
        <v>1</v>
      </c>
      <c r="W8" s="5" t="str">
        <f t="shared" ca="1" si="2"/>
        <v>良好</v>
      </c>
    </row>
    <row r="9" spans="1:24">
      <c r="A9" s="4"/>
      <c r="B9" s="1"/>
      <c r="C9" s="3"/>
      <c r="D9" s="3"/>
      <c r="E9" s="3"/>
      <c r="F9" s="3"/>
      <c r="G9" s="3"/>
      <c r="H9" s="5"/>
      <c r="I9" s="16"/>
      <c r="J9" s="4"/>
      <c r="K9" s="1"/>
      <c r="L9" s="3"/>
      <c r="M9" s="3"/>
      <c r="N9" s="3"/>
      <c r="O9" s="3"/>
      <c r="P9" s="3"/>
      <c r="Q9" s="3"/>
      <c r="R9" s="3"/>
      <c r="S9" s="3"/>
      <c r="T9" s="3"/>
      <c r="U9" s="3"/>
      <c r="V9" s="54"/>
      <c r="W9" s="5"/>
    </row>
    <row r="10" spans="1:24" ht="14.25" thickBot="1">
      <c r="A10" s="6"/>
      <c r="B10" s="7" t="s">
        <v>0</v>
      </c>
      <c r="C10" s="8">
        <f ca="1">SUM(C4:C8)</f>
        <v>706370</v>
      </c>
      <c r="D10" s="8">
        <f t="shared" ref="D10:H10" ca="1" si="3">SUM(D4:D8)</f>
        <v>725110</v>
      </c>
      <c r="E10" s="8">
        <f t="shared" ca="1" si="3"/>
        <v>811490</v>
      </c>
      <c r="F10" s="8">
        <f t="shared" ca="1" si="3"/>
        <v>192870</v>
      </c>
      <c r="G10" s="8">
        <f t="shared" ca="1" si="3"/>
        <v>2840</v>
      </c>
      <c r="H10" s="11">
        <f t="shared" ca="1" si="3"/>
        <v>2433000</v>
      </c>
      <c r="I10" s="59" t="s">
        <v>58</v>
      </c>
      <c r="J10" s="6"/>
      <c r="K10" s="7" t="s">
        <v>0</v>
      </c>
      <c r="L10" s="8">
        <f ca="1">SUM(L4:L8)</f>
        <v>2536</v>
      </c>
      <c r="M10" s="8">
        <f ca="1">SUM(M4:M8)</f>
        <v>2476</v>
      </c>
      <c r="N10" s="8">
        <f t="shared" ref="N10:O10" ca="1" si="4">SUM(N4:N8)</f>
        <v>2650</v>
      </c>
      <c r="O10" s="8">
        <f t="shared" ca="1" si="4"/>
        <v>7662</v>
      </c>
      <c r="P10" s="8">
        <f ca="1">SUM(P4:P8)</f>
        <v>4034030</v>
      </c>
      <c r="Q10" s="8">
        <f ca="1">SUM(Q4:Q8)</f>
        <v>4138840</v>
      </c>
      <c r="R10" s="8">
        <f ca="1">SUM(R4:R8)</f>
        <v>4627640</v>
      </c>
      <c r="S10" s="8">
        <f t="shared" ref="S10:U10" ca="1" si="5">SUM(S4:S8)</f>
        <v>12800510</v>
      </c>
      <c r="T10" s="8">
        <f t="shared" ca="1" si="5"/>
        <v>540500</v>
      </c>
      <c r="U10" s="8">
        <f t="shared" ca="1" si="5"/>
        <v>12260010</v>
      </c>
      <c r="V10" s="55"/>
      <c r="W10" s="11"/>
      <c r="X10" s="59" t="s">
        <v>58</v>
      </c>
    </row>
    <row r="11" spans="1:24" ht="14.25" thickBot="1">
      <c r="H11" s="19"/>
      <c r="I11" s="19"/>
      <c r="U11" s="19"/>
      <c r="V11" s="19"/>
    </row>
    <row r="12" spans="1:24">
      <c r="A12" s="9" t="s">
        <v>2</v>
      </c>
      <c r="B12" s="9" t="s">
        <v>2</v>
      </c>
      <c r="C12" s="12" t="s">
        <v>2</v>
      </c>
      <c r="D12" s="12" t="s">
        <v>2</v>
      </c>
      <c r="E12" s="12" t="s">
        <v>2</v>
      </c>
      <c r="J12" s="9" t="s">
        <v>16</v>
      </c>
      <c r="K12" s="9" t="s">
        <v>16</v>
      </c>
      <c r="L12" s="12" t="s">
        <v>16</v>
      </c>
      <c r="M12" s="12" t="s">
        <v>16</v>
      </c>
      <c r="N12" s="12" t="s">
        <v>16</v>
      </c>
      <c r="O12" s="17"/>
    </row>
    <row r="13" spans="1:24" ht="14.25" thickBot="1">
      <c r="A13" s="10" t="s">
        <v>27</v>
      </c>
      <c r="B13" s="10" t="s">
        <v>29</v>
      </c>
      <c r="C13" s="13" t="s">
        <v>31</v>
      </c>
      <c r="D13" s="13" t="s">
        <v>33</v>
      </c>
      <c r="E13" s="13" t="s">
        <v>35</v>
      </c>
      <c r="G13" s="14"/>
      <c r="J13" s="10">
        <v>11</v>
      </c>
      <c r="K13" s="10">
        <v>12</v>
      </c>
      <c r="L13" s="13">
        <v>13</v>
      </c>
      <c r="M13" s="13">
        <v>14</v>
      </c>
      <c r="N13" s="13">
        <v>15</v>
      </c>
    </row>
    <row r="37" spans="18:18">
      <c r="R37" s="59" t="s">
        <v>59</v>
      </c>
    </row>
  </sheetData>
  <sortState xmlns:xlrd2="http://schemas.microsoft.com/office/spreadsheetml/2017/richdata2" ref="A4:H8">
    <sortCondition descending="1" ref="H4:H8"/>
  </sortState>
  <mergeCells count="5">
    <mergeCell ref="C2:E2"/>
    <mergeCell ref="L2:N2"/>
    <mergeCell ref="P2:R2"/>
    <mergeCell ref="J1:W1"/>
    <mergeCell ref="A1:H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テーブル</vt:lpstr>
      <vt:lpstr>Ａ商品</vt:lpstr>
      <vt:lpstr>Ｂ商品</vt:lpstr>
      <vt:lpstr>C商品</vt:lpstr>
      <vt:lpstr>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2023-07-02T02:36:13Z</cp:lastPrinted>
  <dcterms:created xsi:type="dcterms:W3CDTF">2019-03-28T01:49:55Z</dcterms:created>
  <dcterms:modified xsi:type="dcterms:W3CDTF">2024-08-23T03:51:47Z</dcterms:modified>
</cp:coreProperties>
</file>