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4(令和06)年度\令和06年10月\1表計算\SPS_202410\"/>
    </mc:Choice>
  </mc:AlternateContent>
  <xr:revisionPtr revIDLastSave="0" documentId="13_ncr:1_{9B77AA21-37F1-4D6D-887A-D51F464120F0}" xr6:coauthVersionLast="47" xr6:coauthVersionMax="47" xr10:uidLastSave="{00000000-0000-0000-0000-000000000000}"/>
  <bookViews>
    <workbookView xWindow="1065" yWindow="2475" windowWidth="25290" windowHeight="11385" xr2:uid="{5A0B0F91-EF80-4E49-BE86-7D21E9E4672C}"/>
  </bookViews>
  <sheets>
    <sheet name="テーブル" sheetId="1" r:id="rId1"/>
    <sheet name="データ表" sheetId="5" r:id="rId2"/>
    <sheet name="計算表" sheetId="6" r:id="rId3"/>
  </sheets>
  <definedNames>
    <definedName name="_xlnm._FilterDatabase" localSheetId="1" hidden="1">データ表!$A$1:$F$25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6" l="1"/>
  <c r="Q2" i="6"/>
  <c r="N3" i="6"/>
  <c r="N4" i="6"/>
  <c r="N5" i="6"/>
  <c r="N6" i="6"/>
  <c r="N7" i="6"/>
  <c r="N8" i="6"/>
  <c r="B4" i="6"/>
  <c r="B5" i="6"/>
  <c r="B6" i="6"/>
  <c r="B3" i="6"/>
  <c r="F2" i="5"/>
  <c r="E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" i="5"/>
  <c r="J4" i="6" l="1"/>
  <c r="J8" i="6"/>
  <c r="J3" i="6"/>
  <c r="J6" i="6"/>
  <c r="J5" i="6"/>
  <c r="J7" i="6"/>
  <c r="I4" i="6"/>
  <c r="I8" i="6"/>
  <c r="I3" i="6"/>
  <c r="I6" i="6"/>
  <c r="I5" i="6"/>
  <c r="I7" i="6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Q12" i="6" l="1"/>
  <c r="Q4" i="6" s="1"/>
  <c r="L5" i="6"/>
  <c r="K6" i="6"/>
  <c r="L6" i="6"/>
  <c r="K8" i="6"/>
  <c r="L4" i="6"/>
  <c r="C6" i="6"/>
  <c r="K5" i="6"/>
  <c r="L8" i="6"/>
  <c r="K4" i="6"/>
  <c r="K3" i="6"/>
  <c r="L3" i="6"/>
  <c r="L7" i="6"/>
  <c r="C3" i="6"/>
  <c r="C5" i="6"/>
  <c r="K7" i="6"/>
  <c r="C4" i="6"/>
  <c r="D3" i="6" l="1"/>
  <c r="E3" i="6" s="1"/>
  <c r="F3" i="6" s="1"/>
  <c r="D4" i="6"/>
  <c r="E4" i="6" s="1"/>
  <c r="F4" i="6" s="1"/>
  <c r="D6" i="6"/>
  <c r="E6" i="6" s="1"/>
  <c r="F6" i="6" s="1"/>
  <c r="D5" i="6"/>
  <c r="E5" i="6" s="1"/>
  <c r="F5" i="6" s="1"/>
  <c r="M4" i="6"/>
  <c r="M5" i="6"/>
  <c r="M8" i="6"/>
  <c r="M6" i="6"/>
  <c r="M3" i="6"/>
  <c r="C8" i="6"/>
  <c r="M7" i="6"/>
  <c r="D27" i="5"/>
  <c r="F8" i="6" l="1"/>
  <c r="E27" i="5"/>
  <c r="F27" i="5"/>
  <c r="D8" i="6" l="1"/>
  <c r="E8" i="6"/>
</calcChain>
</file>

<file path=xl/sharedStrings.xml><?xml version="1.0" encoding="utf-8"?>
<sst xmlns="http://schemas.openxmlformats.org/spreadsheetml/2006/main" count="97" uniqueCount="60">
  <si>
    <t>商ＣＯ</t>
  </si>
  <si>
    <t>商品名</t>
  </si>
  <si>
    <t>＜商品テーブル＞</t>
  </si>
  <si>
    <t>合　計</t>
  </si>
  <si>
    <t>得ＣＯ</t>
  </si>
  <si>
    <t>得意先名</t>
  </si>
  <si>
    <t>割引額</t>
  </si>
  <si>
    <t>請求額</t>
  </si>
  <si>
    <t>日数</t>
  </si>
  <si>
    <t>ＯＰ料金</t>
  </si>
  <si>
    <t>料金合計</t>
  </si>
  <si>
    <t>１日料金</t>
  </si>
  <si>
    <t>＜得意先テーブル＞</t>
    <phoneticPr fontId="1"/>
  </si>
  <si>
    <t>得意先別計算表</t>
    <phoneticPr fontId="1"/>
  </si>
  <si>
    <t>合　計</t>
    <phoneticPr fontId="1"/>
  </si>
  <si>
    <t>ＯＰ単価</t>
    <rPh sb="2" eb="4">
      <t>タンカ</t>
    </rPh>
    <phoneticPr fontId="1"/>
  </si>
  <si>
    <t>日数</t>
    <rPh sb="0" eb="2">
      <t>ニッスウ</t>
    </rPh>
    <phoneticPr fontId="1"/>
  </si>
  <si>
    <t>貸出料金</t>
    <rPh sb="0" eb="4">
      <t>カシダシリョウキン</t>
    </rPh>
    <phoneticPr fontId="1"/>
  </si>
  <si>
    <t>川村総業</t>
    <rPh sb="0" eb="2">
      <t>カワムラ</t>
    </rPh>
    <rPh sb="2" eb="4">
      <t>ソウギョウ</t>
    </rPh>
    <phoneticPr fontId="1"/>
  </si>
  <si>
    <t>加藤企画</t>
    <rPh sb="0" eb="2">
      <t>カトウ</t>
    </rPh>
    <rPh sb="2" eb="4">
      <t>キカク</t>
    </rPh>
    <phoneticPr fontId="1"/>
  </si>
  <si>
    <t>中山商事</t>
    <rPh sb="0" eb="2">
      <t>ナカヤマ</t>
    </rPh>
    <rPh sb="2" eb="4">
      <t>ショウジ</t>
    </rPh>
    <phoneticPr fontId="1"/>
  </si>
  <si>
    <t>ＫＹ物産</t>
    <phoneticPr fontId="1"/>
  </si>
  <si>
    <t>11X</t>
    <phoneticPr fontId="1"/>
  </si>
  <si>
    <t>13Y</t>
    <phoneticPr fontId="1"/>
  </si>
  <si>
    <t>商品Ｅ</t>
    <phoneticPr fontId="1"/>
  </si>
  <si>
    <t>商品Ｆ</t>
    <phoneticPr fontId="1"/>
  </si>
  <si>
    <t>商品Ｇ</t>
    <phoneticPr fontId="1"/>
  </si>
  <si>
    <t>商品Ｈ</t>
    <phoneticPr fontId="1"/>
  </si>
  <si>
    <t>商品Ｉ</t>
    <phoneticPr fontId="1"/>
  </si>
  <si>
    <t>X</t>
    <phoneticPr fontId="1"/>
  </si>
  <si>
    <t>Y</t>
    <phoneticPr fontId="1"/>
  </si>
  <si>
    <t>商品Ｊ</t>
    <phoneticPr fontId="1"/>
  </si>
  <si>
    <t>貸出料金</t>
    <rPh sb="0" eb="2">
      <t>カシダシ</t>
    </rPh>
    <phoneticPr fontId="1"/>
  </si>
  <si>
    <t>料金合計</t>
    <rPh sb="0" eb="2">
      <t>リョウキン</t>
    </rPh>
    <rPh sb="2" eb="4">
      <t>ゴウケイ</t>
    </rPh>
    <phoneticPr fontId="1"/>
  </si>
  <si>
    <t>区分</t>
    <rPh sb="0" eb="2">
      <t>クブン</t>
    </rPh>
    <phoneticPr fontId="1"/>
  </si>
  <si>
    <t>＜割引率表＞</t>
    <rPh sb="1" eb="3">
      <t>ワリビキ</t>
    </rPh>
    <phoneticPr fontId="1"/>
  </si>
  <si>
    <t>12Y</t>
    <phoneticPr fontId="1"/>
  </si>
  <si>
    <t>14X</t>
    <phoneticPr fontId="1"/>
  </si>
  <si>
    <t>得ＣＯ</t>
    <phoneticPr fontId="1"/>
  </si>
  <si>
    <t>得ＣＯ</t>
    <rPh sb="0" eb="1">
      <t>トク</t>
    </rPh>
    <phoneticPr fontId="1"/>
  </si>
  <si>
    <t>&lt;50000</t>
    <phoneticPr fontId="1"/>
  </si>
  <si>
    <t>ＯＰ料金</t>
    <rPh sb="2" eb="4">
      <t>リョウキン</t>
    </rPh>
    <phoneticPr fontId="1"/>
  </si>
  <si>
    <t>&gt;=2000</t>
    <phoneticPr fontId="1"/>
  </si>
  <si>
    <t>貸出料金</t>
    <phoneticPr fontId="1"/>
  </si>
  <si>
    <t>貸出料金が50,000円未満でＯＰ料金が2,000円以上の件数</t>
    <rPh sb="11" eb="12">
      <t>エン</t>
    </rPh>
    <rPh sb="12" eb="14">
      <t>ミマン</t>
    </rPh>
    <rPh sb="26" eb="28">
      <t>イジョウ</t>
    </rPh>
    <phoneticPr fontId="1"/>
  </si>
  <si>
    <t>ポイント</t>
    <phoneticPr fontId="1"/>
  </si>
  <si>
    <t>判定</t>
    <rPh sb="0" eb="2">
      <t>ハンテイ</t>
    </rPh>
    <phoneticPr fontId="1"/>
  </si>
  <si>
    <t>商ＣＯ</t>
    <phoneticPr fontId="1"/>
  </si>
  <si>
    <t>ＯＰ料金</t>
    <phoneticPr fontId="1"/>
  </si>
  <si>
    <t>ＯＰ料金</t>
    <phoneticPr fontId="1"/>
  </si>
  <si>
    <t>　</t>
    <phoneticPr fontId="1"/>
  </si>
  <si>
    <t>商品名</t>
    <phoneticPr fontId="1"/>
  </si>
  <si>
    <t>ＯＰ料金が最大の商品名</t>
    <phoneticPr fontId="1"/>
  </si>
  <si>
    <t>日数</t>
    <rPh sb="0" eb="2">
      <t>ニッスウ</t>
    </rPh>
    <phoneticPr fontId="1"/>
  </si>
  <si>
    <t>&lt;=9</t>
    <phoneticPr fontId="1"/>
  </si>
  <si>
    <t>得ＣＯが11Xまたは日数が9日以下のＯＰ料金の平均</t>
    <rPh sb="0" eb="1">
      <t>トク</t>
    </rPh>
    <rPh sb="10" eb="12">
      <t>ニッスウ</t>
    </rPh>
    <rPh sb="14" eb="15">
      <t>ニチ</t>
    </rPh>
    <rPh sb="15" eb="17">
      <t>イカ</t>
    </rPh>
    <rPh sb="23" eb="25">
      <t>ヘイキン</t>
    </rPh>
    <phoneticPr fontId="1"/>
  </si>
  <si>
    <t>商品別総括表</t>
    <rPh sb="3" eb="5">
      <t>ソウカツ</t>
    </rPh>
    <rPh sb="5" eb="6">
      <t>ヒョウ</t>
    </rPh>
    <phoneticPr fontId="1"/>
  </si>
  <si>
    <t>グラフ【20点】</t>
    <rPh sb="6" eb="7">
      <t>テン</t>
    </rPh>
    <phoneticPr fontId="1"/>
  </si>
  <si>
    <t>【100点】</t>
    <rPh sb="4" eb="5">
      <t>テン</t>
    </rPh>
    <phoneticPr fontId="1"/>
  </si>
  <si>
    <t>【30点】</t>
    <rPh sb="3" eb="4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</si>
</sst>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明朝"/>
      <family val="2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3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9" xfId="2" applyFont="1" applyBorder="1">
      <alignment vertical="center"/>
    </xf>
    <xf numFmtId="3" fontId="0" fillId="0" borderId="0" xfId="0" applyNumberFormat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2" applyFont="1" applyFill="1" applyBorder="1">
      <alignment vertical="center"/>
    </xf>
    <xf numFmtId="0" fontId="0" fillId="0" borderId="15" xfId="0" applyBorder="1" applyAlignment="1">
      <alignment horizontal="center" vertical="center"/>
    </xf>
    <xf numFmtId="38" fontId="0" fillId="0" borderId="4" xfId="2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38" fontId="3" fillId="0" borderId="1" xfId="2" applyFont="1" applyBorder="1">
      <alignment vertical="center"/>
    </xf>
    <xf numFmtId="38" fontId="3" fillId="0" borderId="8" xfId="2" applyFont="1" applyBorder="1">
      <alignment vertical="center"/>
    </xf>
    <xf numFmtId="3" fontId="0" fillId="0" borderId="6" xfId="0" applyNumberFormat="1" applyBorder="1">
      <alignment vertical="center"/>
    </xf>
    <xf numFmtId="38" fontId="0" fillId="0" borderId="9" xfId="2" applyFont="1" applyFill="1" applyBorder="1">
      <alignment vertical="center"/>
    </xf>
    <xf numFmtId="0" fontId="4" fillId="0" borderId="2" xfId="0" applyFont="1" applyBorder="1">
      <alignment vertical="center"/>
    </xf>
    <xf numFmtId="38" fontId="0" fillId="0" borderId="1" xfId="2" applyFont="1" applyFill="1" applyBorder="1">
      <alignment vertical="center"/>
    </xf>
    <xf numFmtId="0" fontId="0" fillId="0" borderId="10" xfId="0" applyBorder="1">
      <alignment vertical="center"/>
    </xf>
    <xf numFmtId="176" fontId="0" fillId="0" borderId="1" xfId="1" applyNumberFormat="1" applyFont="1" applyBorder="1">
      <alignment vertical="center"/>
    </xf>
    <xf numFmtId="3" fontId="4" fillId="0" borderId="6" xfId="0" applyNumberFormat="1" applyFont="1" applyBorder="1">
      <alignment vertical="center"/>
    </xf>
    <xf numFmtId="176" fontId="0" fillId="0" borderId="6" xfId="1" applyNumberFormat="1" applyFont="1" applyBorder="1" applyAlignment="1">
      <alignment horizontal="center" vertical="center"/>
    </xf>
    <xf numFmtId="176" fontId="0" fillId="0" borderId="9" xfId="1" applyNumberFormat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38" fontId="0" fillId="0" borderId="6" xfId="2" applyFont="1" applyBorder="1">
      <alignment vertical="center"/>
    </xf>
    <xf numFmtId="38" fontId="0" fillId="0" borderId="17" xfId="2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0" xfId="3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</cellXfs>
  <cellStyles count="4">
    <cellStyle name="パーセント" xfId="1" builtinId="5"/>
    <cellStyle name="桁区切り" xfId="2" builtinId="6"/>
    <cellStyle name="標準" xfId="0" builtinId="0"/>
    <cellStyle name="標準 2" xfId="3" xr:uid="{8995F9F6-0958-4D76-AB2B-209344851136}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ja-JP" altLang="en-US" sz="1100" b="0">
                <a:latin typeface="ＭＳ 明朝" panose="02020609040205080304" pitchFamily="17" charset="-128"/>
                <a:ea typeface="ＭＳ 明朝" panose="02020609040205080304" pitchFamily="17" charset="-128"/>
              </a:rPr>
              <a:t>商品別の集計グラフ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計算表!$M$2</c:f>
              <c:strCache>
                <c:ptCount val="1"/>
                <c:pt idx="0">
                  <c:v>料金合計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計算表!$I$3:$I$8</c:f>
              <c:strCache>
                <c:ptCount val="6"/>
                <c:pt idx="0">
                  <c:v>商品Ｈ</c:v>
                </c:pt>
                <c:pt idx="1">
                  <c:v>商品Ｆ</c:v>
                </c:pt>
                <c:pt idx="2">
                  <c:v>商品Ｊ</c:v>
                </c:pt>
                <c:pt idx="3">
                  <c:v>商品Ｉ</c:v>
                </c:pt>
                <c:pt idx="4">
                  <c:v>商品Ｅ</c:v>
                </c:pt>
                <c:pt idx="5">
                  <c:v>商品Ｇ</c:v>
                </c:pt>
              </c:strCache>
            </c:strRef>
          </c:cat>
          <c:val>
            <c:numRef>
              <c:f>計算表!$M$3:$M$8</c:f>
              <c:numCache>
                <c:formatCode>#,##0_);[Red]\(#,##0\)</c:formatCode>
                <c:ptCount val="6"/>
                <c:pt idx="0">
                  <c:v>193830</c:v>
                </c:pt>
                <c:pt idx="1">
                  <c:v>266950</c:v>
                </c:pt>
                <c:pt idx="2">
                  <c:v>128310</c:v>
                </c:pt>
                <c:pt idx="3">
                  <c:v>141930</c:v>
                </c:pt>
                <c:pt idx="4">
                  <c:v>248850</c:v>
                </c:pt>
                <c:pt idx="5">
                  <c:v>193750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6389712"/>
        <c:axId val="706396928"/>
      </c:barChart>
      <c:lineChart>
        <c:grouping val="stacked"/>
        <c:varyColors val="0"/>
        <c:ser>
          <c:idx val="0"/>
          <c:order val="1"/>
          <c:tx>
            <c:strRef>
              <c:f>計算表!$J$2</c:f>
              <c:strCache>
                <c:ptCount val="1"/>
                <c:pt idx="0">
                  <c:v>日数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計算表!$I$3:$I$8</c:f>
              <c:strCache>
                <c:ptCount val="6"/>
                <c:pt idx="0">
                  <c:v>商品Ｈ</c:v>
                </c:pt>
                <c:pt idx="1">
                  <c:v>商品Ｆ</c:v>
                </c:pt>
                <c:pt idx="2">
                  <c:v>商品Ｊ</c:v>
                </c:pt>
                <c:pt idx="3">
                  <c:v>商品Ｉ</c:v>
                </c:pt>
                <c:pt idx="4">
                  <c:v>商品Ｅ</c:v>
                </c:pt>
                <c:pt idx="5">
                  <c:v>商品Ｇ</c:v>
                </c:pt>
              </c:strCache>
            </c:strRef>
          </c:cat>
          <c:val>
            <c:numRef>
              <c:f>計算表!$J$3:$J$8</c:f>
              <c:numCache>
                <c:formatCode>#,##0_);[Red]\(#,##0\)</c:formatCode>
                <c:ptCount val="6"/>
                <c:pt idx="0">
                  <c:v>40</c:v>
                </c:pt>
                <c:pt idx="1">
                  <c:v>38</c:v>
                </c:pt>
                <c:pt idx="2">
                  <c:v>37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C8-4DF2-B3C7-F54448F97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37248"/>
        <c:axId val="117238784"/>
      </c:lineChart>
      <c:catAx>
        <c:axId val="11723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8784"/>
        <c:crosses val="autoZero"/>
        <c:auto val="1"/>
        <c:lblAlgn val="ctr"/>
        <c:lblOffset val="100"/>
        <c:noMultiLvlLbl val="0"/>
      </c:catAx>
      <c:valAx>
        <c:axId val="117238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_);[Red]\(#,##0\)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117237248"/>
        <c:crosses val="autoZero"/>
        <c:crossBetween val="between"/>
      </c:valAx>
      <c:valAx>
        <c:axId val="706396928"/>
        <c:scaling>
          <c:orientation val="minMax"/>
        </c:scaling>
        <c:delete val="0"/>
        <c:axPos val="r"/>
        <c:numFmt formatCode="#,##0_);[Red]\(#,##0\)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 baseline="0">
                <a:latin typeface="ＭＳ 明朝" panose="02020609040205080304" pitchFamily="17" charset="-128"/>
                <a:ea typeface="ＭＳ 明朝" panose="02020609040205080304" pitchFamily="17" charset="-128"/>
              </a:defRPr>
            </a:pPr>
            <a:endParaRPr lang="ja-JP"/>
          </a:p>
        </c:txPr>
        <c:crossAx val="706389712"/>
        <c:crosses val="max"/>
        <c:crossBetween val="between"/>
      </c:valAx>
      <c:catAx>
        <c:axId val="706389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06396928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r"/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100">
              <a:latin typeface="ＭＳ 明朝" panose="02020609040205080304" pitchFamily="17" charset="-128"/>
              <a:ea typeface="ＭＳ 明朝" panose="02020609040205080304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18</xdr:row>
      <xdr:rowOff>28575</xdr:rowOff>
    </xdr:from>
    <xdr:to>
      <xdr:col>13</xdr:col>
      <xdr:colOff>209550</xdr:colOff>
      <xdr:row>34</xdr:row>
      <xdr:rowOff>104775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C20F915-596B-28EC-79F6-6E56E6B0A2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workbookViewId="0"/>
  </sheetViews>
  <sheetFormatPr defaultRowHeight="13.5" x14ac:dyDescent="0.15"/>
  <cols>
    <col min="1" max="2" width="7.5" bestFit="1" customWidth="1"/>
    <col min="3" max="3" width="9.5" bestFit="1" customWidth="1"/>
    <col min="4" max="6" width="4.5" bestFit="1" customWidth="1"/>
    <col min="7" max="7" width="4.5" customWidth="1"/>
    <col min="8" max="8" width="7.5" bestFit="1" customWidth="1"/>
    <col min="9" max="9" width="10.875" customWidth="1"/>
    <col min="10" max="10" width="5" customWidth="1"/>
    <col min="11" max="11" width="9.5" bestFit="1" customWidth="1"/>
    <col min="12" max="13" width="5.5" bestFit="1" customWidth="1"/>
    <col min="14" max="14" width="9" customWidth="1"/>
  </cols>
  <sheetData>
    <row r="1" spans="1:13" x14ac:dyDescent="0.15">
      <c r="A1" t="s">
        <v>2</v>
      </c>
      <c r="H1" t="s">
        <v>12</v>
      </c>
      <c r="K1" t="s">
        <v>35</v>
      </c>
    </row>
    <row r="2" spans="1:13" x14ac:dyDescent="0.15">
      <c r="A2" s="44" t="s">
        <v>0</v>
      </c>
      <c r="B2" s="44" t="s">
        <v>1</v>
      </c>
      <c r="C2" s="44" t="s">
        <v>11</v>
      </c>
      <c r="D2" s="44" t="s">
        <v>15</v>
      </c>
      <c r="E2" s="44"/>
      <c r="F2" s="44"/>
      <c r="H2" s="1" t="s">
        <v>4</v>
      </c>
      <c r="I2" s="1" t="s">
        <v>5</v>
      </c>
      <c r="K2" s="42" t="s">
        <v>33</v>
      </c>
      <c r="L2" s="40" t="s">
        <v>34</v>
      </c>
      <c r="M2" s="41"/>
    </row>
    <row r="3" spans="1:13" x14ac:dyDescent="0.15">
      <c r="A3" s="44"/>
      <c r="B3" s="44"/>
      <c r="C3" s="44"/>
      <c r="D3" s="45" t="s">
        <v>16</v>
      </c>
      <c r="E3" s="45"/>
      <c r="F3" s="45"/>
      <c r="H3" s="2" t="s">
        <v>22</v>
      </c>
      <c r="I3" s="21" t="s">
        <v>18</v>
      </c>
      <c r="K3" s="43"/>
      <c r="L3" s="1" t="s">
        <v>29</v>
      </c>
      <c r="M3" s="1" t="s">
        <v>30</v>
      </c>
    </row>
    <row r="4" spans="1:13" x14ac:dyDescent="0.15">
      <c r="A4" s="44"/>
      <c r="B4" s="44"/>
      <c r="C4" s="44"/>
      <c r="D4" s="29">
        <v>1</v>
      </c>
      <c r="E4" s="29">
        <v>7</v>
      </c>
      <c r="F4" s="29">
        <v>10</v>
      </c>
      <c r="H4" s="2" t="s">
        <v>36</v>
      </c>
      <c r="I4" s="21" t="s">
        <v>19</v>
      </c>
      <c r="K4" s="2">
        <v>1</v>
      </c>
      <c r="L4" s="30">
        <v>6.0999999999999999E-2</v>
      </c>
      <c r="M4" s="30">
        <v>6.7000000000000004E-2</v>
      </c>
    </row>
    <row r="5" spans="1:13" x14ac:dyDescent="0.15">
      <c r="A5" s="2">
        <v>101</v>
      </c>
      <c r="B5" s="2" t="s">
        <v>24</v>
      </c>
      <c r="C5" s="3">
        <v>7180</v>
      </c>
      <c r="D5" s="2">
        <v>502</v>
      </c>
      <c r="E5" s="2">
        <v>374</v>
      </c>
      <c r="F5" s="2">
        <v>261</v>
      </c>
      <c r="H5" s="2" t="s">
        <v>23</v>
      </c>
      <c r="I5" s="21" t="s">
        <v>20</v>
      </c>
      <c r="K5" s="3">
        <v>280000</v>
      </c>
      <c r="L5" s="30">
        <v>7.2999999999999995E-2</v>
      </c>
      <c r="M5" s="30">
        <v>7.9000000000000001E-2</v>
      </c>
    </row>
    <row r="6" spans="1:13" x14ac:dyDescent="0.15">
      <c r="A6" s="2">
        <v>102</v>
      </c>
      <c r="B6" s="2" t="s">
        <v>25</v>
      </c>
      <c r="C6" s="3">
        <v>6730</v>
      </c>
      <c r="D6" s="2">
        <v>453</v>
      </c>
      <c r="E6" s="2">
        <v>348</v>
      </c>
      <c r="F6" s="2">
        <v>236</v>
      </c>
      <c r="H6" s="2" t="s">
        <v>37</v>
      </c>
      <c r="I6" s="21" t="s">
        <v>21</v>
      </c>
    </row>
    <row r="7" spans="1:13" x14ac:dyDescent="0.15">
      <c r="A7" s="2">
        <v>103</v>
      </c>
      <c r="B7" s="2" t="s">
        <v>26</v>
      </c>
      <c r="C7" s="3">
        <v>5940</v>
      </c>
      <c r="D7" s="2">
        <v>404</v>
      </c>
      <c r="E7" s="2">
        <v>322</v>
      </c>
      <c r="F7" s="2">
        <v>211</v>
      </c>
    </row>
    <row r="8" spans="1:13" x14ac:dyDescent="0.15">
      <c r="A8" s="2">
        <v>104</v>
      </c>
      <c r="B8" s="2" t="s">
        <v>27</v>
      </c>
      <c r="C8" s="3">
        <v>4610</v>
      </c>
      <c r="D8" s="2">
        <v>355</v>
      </c>
      <c r="E8" s="2">
        <v>296</v>
      </c>
      <c r="F8" s="2">
        <v>186</v>
      </c>
    </row>
    <row r="9" spans="1:13" x14ac:dyDescent="0.15">
      <c r="A9" s="2">
        <v>105</v>
      </c>
      <c r="B9" s="2" t="s">
        <v>28</v>
      </c>
      <c r="C9" s="3">
        <v>3820</v>
      </c>
      <c r="D9" s="2">
        <v>306</v>
      </c>
      <c r="E9" s="2">
        <v>270</v>
      </c>
      <c r="F9" s="2">
        <v>161</v>
      </c>
    </row>
    <row r="10" spans="1:13" x14ac:dyDescent="0.15">
      <c r="A10" s="2">
        <v>106</v>
      </c>
      <c r="B10" s="2" t="s">
        <v>31</v>
      </c>
      <c r="C10" s="3">
        <v>3290</v>
      </c>
      <c r="D10" s="2">
        <v>257</v>
      </c>
      <c r="E10" s="2">
        <v>244</v>
      </c>
      <c r="F10" s="2">
        <v>136</v>
      </c>
    </row>
  </sheetData>
  <sortState xmlns:xlrd2="http://schemas.microsoft.com/office/spreadsheetml/2017/richdata2" ref="A2:K5">
    <sortCondition descending="1" ref="B2"/>
  </sortState>
  <mergeCells count="7">
    <mergeCell ref="L2:M2"/>
    <mergeCell ref="K2:K3"/>
    <mergeCell ref="D2:F2"/>
    <mergeCell ref="A2:A4"/>
    <mergeCell ref="B2:B4"/>
    <mergeCell ref="C2:C4"/>
    <mergeCell ref="D3:F3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RowHeight="13.5" x14ac:dyDescent="0.15"/>
  <cols>
    <col min="1" max="2" width="7.5" bestFit="1" customWidth="1"/>
    <col min="3" max="3" width="7.5" customWidth="1"/>
    <col min="4" max="4" width="5.5" bestFit="1" customWidth="1"/>
    <col min="5" max="5" width="10.5" bestFit="1" customWidth="1"/>
    <col min="6" max="6" width="9.5" bestFit="1" customWidth="1"/>
  </cols>
  <sheetData>
    <row r="1" spans="1:6" x14ac:dyDescent="0.15">
      <c r="A1" s="4" t="s">
        <v>4</v>
      </c>
      <c r="B1" s="5" t="s">
        <v>0</v>
      </c>
      <c r="C1" s="5" t="s">
        <v>51</v>
      </c>
      <c r="D1" s="5" t="s">
        <v>8</v>
      </c>
      <c r="E1" s="5" t="s">
        <v>32</v>
      </c>
      <c r="F1" s="6" t="s">
        <v>9</v>
      </c>
    </row>
    <row r="2" spans="1:6" x14ac:dyDescent="0.15">
      <c r="A2" s="7" t="s">
        <v>22</v>
      </c>
      <c r="B2" s="2">
        <v>101</v>
      </c>
      <c r="C2" s="2" t="str">
        <f>VLOOKUP(B2,テーブル!$A$5:$F$10,2,0)</f>
        <v>商品Ｅ</v>
      </c>
      <c r="D2" s="2">
        <v>11</v>
      </c>
      <c r="E2" s="3">
        <f>ROUND(VLOOKUP(B2,テーブル!$A$5:$F$10,3,0)*D2,-2)</f>
        <v>79000</v>
      </c>
      <c r="F2" s="25">
        <f>ROUNDDOWN(INDEX(テーブル!$D$5:$F$10,MATCH(B2,テーブル!$A$5:$A$10,0),MATCH(D2,テーブル!$D$4:$F$4,1))*D2,-1)</f>
        <v>2870</v>
      </c>
    </row>
    <row r="3" spans="1:6" x14ac:dyDescent="0.15">
      <c r="A3" s="7" t="s">
        <v>22</v>
      </c>
      <c r="B3" s="2">
        <v>102</v>
      </c>
      <c r="C3" s="2" t="str">
        <f>VLOOKUP(B3,テーブル!$A$5:$F$10,2,0)</f>
        <v>商品Ｆ</v>
      </c>
      <c r="D3" s="2">
        <v>12</v>
      </c>
      <c r="E3" s="3">
        <f>ROUND(VLOOKUP(B3,テーブル!$A$5:$F$10,3,0)*D3,-2)</f>
        <v>80800</v>
      </c>
      <c r="F3" s="25">
        <f>ROUNDDOWN(INDEX(テーブル!$D$5:$F$10,MATCH(B3,テーブル!$A$5:$A$10,0),MATCH(D3,テーブル!$D$4:$F$4,1))*D3,-1)</f>
        <v>2830</v>
      </c>
    </row>
    <row r="4" spans="1:6" x14ac:dyDescent="0.15">
      <c r="A4" s="7" t="s">
        <v>22</v>
      </c>
      <c r="B4" s="2">
        <v>103</v>
      </c>
      <c r="C4" s="2" t="str">
        <f>VLOOKUP(B4,テーブル!$A$5:$F$10,2,0)</f>
        <v>商品Ｇ</v>
      </c>
      <c r="D4" s="2">
        <v>9</v>
      </c>
      <c r="E4" s="3">
        <f>ROUND(VLOOKUP(B4,テーブル!$A$5:$F$10,3,0)*D4,-2)</f>
        <v>53500</v>
      </c>
      <c r="F4" s="25">
        <f>ROUNDDOWN(INDEX(テーブル!$D$5:$F$10,MATCH(B4,テーブル!$A$5:$A$10,0),MATCH(D4,テーブル!$D$4:$F$4,1))*D4,-1)</f>
        <v>2890</v>
      </c>
    </row>
    <row r="5" spans="1:6" x14ac:dyDescent="0.15">
      <c r="A5" s="7" t="s">
        <v>22</v>
      </c>
      <c r="B5" s="2">
        <v>104</v>
      </c>
      <c r="C5" s="2" t="str">
        <f>VLOOKUP(B5,テーブル!$A$5:$F$10,2,0)</f>
        <v>商品Ｈ</v>
      </c>
      <c r="D5" s="2">
        <v>12</v>
      </c>
      <c r="E5" s="3">
        <f>ROUND(VLOOKUP(B5,テーブル!$A$5:$F$10,3,0)*D5,-2)</f>
        <v>55300</v>
      </c>
      <c r="F5" s="25">
        <f>ROUNDDOWN(INDEX(テーブル!$D$5:$F$10,MATCH(B5,テーブル!$A$5:$A$10,0),MATCH(D5,テーブル!$D$4:$F$4,1))*D5,-1)</f>
        <v>2230</v>
      </c>
    </row>
    <row r="6" spans="1:6" x14ac:dyDescent="0.15">
      <c r="A6" s="7" t="s">
        <v>22</v>
      </c>
      <c r="B6" s="2">
        <v>105</v>
      </c>
      <c r="C6" s="2" t="str">
        <f>VLOOKUP(B6,テーブル!$A$5:$F$10,2,0)</f>
        <v>商品Ｉ</v>
      </c>
      <c r="D6" s="2">
        <v>6</v>
      </c>
      <c r="E6" s="3">
        <f>ROUND(VLOOKUP(B6,テーブル!$A$5:$F$10,3,0)*D6,-2)</f>
        <v>22900</v>
      </c>
      <c r="F6" s="25">
        <f>ROUNDDOWN(INDEX(テーブル!$D$5:$F$10,MATCH(B6,テーブル!$A$5:$A$10,0),MATCH(D6,テーブル!$D$4:$F$4,1))*D6,-1)</f>
        <v>1830</v>
      </c>
    </row>
    <row r="7" spans="1:6" x14ac:dyDescent="0.15">
      <c r="A7" s="7" t="s">
        <v>22</v>
      </c>
      <c r="B7" s="2">
        <v>106</v>
      </c>
      <c r="C7" s="2" t="str">
        <f>VLOOKUP(B7,テーブル!$A$5:$F$10,2,0)</f>
        <v>商品Ｊ</v>
      </c>
      <c r="D7" s="2">
        <v>10</v>
      </c>
      <c r="E7" s="3">
        <f>ROUND(VLOOKUP(B7,テーブル!$A$5:$F$10,3,0)*D7,-2)</f>
        <v>32900</v>
      </c>
      <c r="F7" s="25">
        <f>ROUNDDOWN(INDEX(テーブル!$D$5:$F$10,MATCH(B7,テーブル!$A$5:$A$10,0),MATCH(D7,テーブル!$D$4:$F$4,1))*D7,-1)</f>
        <v>1360</v>
      </c>
    </row>
    <row r="8" spans="1:6" x14ac:dyDescent="0.15">
      <c r="A8" s="7" t="s">
        <v>36</v>
      </c>
      <c r="B8" s="2">
        <v>101</v>
      </c>
      <c r="C8" s="2" t="str">
        <f>VLOOKUP(B8,テーブル!$A$5:$F$10,2,0)</f>
        <v>商品Ｅ</v>
      </c>
      <c r="D8" s="2">
        <v>7</v>
      </c>
      <c r="E8" s="3">
        <f>ROUND(VLOOKUP(B8,テーブル!$A$5:$F$10,3,0)*D8,-2)</f>
        <v>50300</v>
      </c>
      <c r="F8" s="25">
        <f>ROUNDDOWN(INDEX(テーブル!$D$5:$F$10,MATCH(B8,テーブル!$A$5:$A$10,0),MATCH(D8,テーブル!$D$4:$F$4,1))*D8,-1)</f>
        <v>2610</v>
      </c>
    </row>
    <row r="9" spans="1:6" x14ac:dyDescent="0.15">
      <c r="A9" s="7" t="s">
        <v>36</v>
      </c>
      <c r="B9" s="2">
        <v>102</v>
      </c>
      <c r="C9" s="2" t="str">
        <f>VLOOKUP(B9,テーブル!$A$5:$F$10,2,0)</f>
        <v>商品Ｆ</v>
      </c>
      <c r="D9" s="2">
        <v>12</v>
      </c>
      <c r="E9" s="3">
        <f>ROUND(VLOOKUP(B9,テーブル!$A$5:$F$10,3,0)*D9,-2)</f>
        <v>80800</v>
      </c>
      <c r="F9" s="25">
        <f>ROUNDDOWN(INDEX(テーブル!$D$5:$F$10,MATCH(B9,テーブル!$A$5:$A$10,0),MATCH(D9,テーブル!$D$4:$F$4,1))*D9,-1)</f>
        <v>2830</v>
      </c>
    </row>
    <row r="10" spans="1:6" x14ac:dyDescent="0.15">
      <c r="A10" s="7" t="s">
        <v>36</v>
      </c>
      <c r="B10" s="2">
        <v>103</v>
      </c>
      <c r="C10" s="2" t="str">
        <f>VLOOKUP(B10,テーブル!$A$5:$F$10,2,0)</f>
        <v>商品Ｇ</v>
      </c>
      <c r="D10" s="2">
        <v>5</v>
      </c>
      <c r="E10" s="3">
        <f>ROUND(VLOOKUP(B10,テーブル!$A$5:$F$10,3,0)*D10,-2)</f>
        <v>29700</v>
      </c>
      <c r="F10" s="25">
        <f>ROUNDDOWN(INDEX(テーブル!$D$5:$F$10,MATCH(B10,テーブル!$A$5:$A$10,0),MATCH(D10,テーブル!$D$4:$F$4,1))*D10,-1)</f>
        <v>2020</v>
      </c>
    </row>
    <row r="11" spans="1:6" x14ac:dyDescent="0.15">
      <c r="A11" s="7" t="s">
        <v>36</v>
      </c>
      <c r="B11" s="2">
        <v>104</v>
      </c>
      <c r="C11" s="2" t="str">
        <f>VLOOKUP(B11,テーブル!$A$5:$F$10,2,0)</f>
        <v>商品Ｈ</v>
      </c>
      <c r="D11" s="2">
        <v>9</v>
      </c>
      <c r="E11" s="3">
        <f>ROUND(VLOOKUP(B11,テーブル!$A$5:$F$10,3,0)*D11,-2)</f>
        <v>41500</v>
      </c>
      <c r="F11" s="25">
        <f>ROUNDDOWN(INDEX(テーブル!$D$5:$F$10,MATCH(B11,テーブル!$A$5:$A$10,0),MATCH(D11,テーブル!$D$4:$F$4,1))*D11,-1)</f>
        <v>2660</v>
      </c>
    </row>
    <row r="12" spans="1:6" x14ac:dyDescent="0.15">
      <c r="A12" s="7" t="s">
        <v>36</v>
      </c>
      <c r="B12" s="2">
        <v>105</v>
      </c>
      <c r="C12" s="2" t="str">
        <f>VLOOKUP(B12,テーブル!$A$5:$F$10,2,0)</f>
        <v>商品Ｉ</v>
      </c>
      <c r="D12" s="2">
        <v>6</v>
      </c>
      <c r="E12" s="3">
        <f>ROUND(VLOOKUP(B12,テーブル!$A$5:$F$10,3,0)*D12,-2)</f>
        <v>22900</v>
      </c>
      <c r="F12" s="25">
        <f>ROUNDDOWN(INDEX(テーブル!$D$5:$F$10,MATCH(B12,テーブル!$A$5:$A$10,0),MATCH(D12,テーブル!$D$4:$F$4,1))*D12,-1)</f>
        <v>1830</v>
      </c>
    </row>
    <row r="13" spans="1:6" x14ac:dyDescent="0.15">
      <c r="A13" s="7" t="s">
        <v>36</v>
      </c>
      <c r="B13" s="2">
        <v>106</v>
      </c>
      <c r="C13" s="2" t="str">
        <f>VLOOKUP(B13,テーブル!$A$5:$F$10,2,0)</f>
        <v>商品Ｊ</v>
      </c>
      <c r="D13" s="2">
        <v>8</v>
      </c>
      <c r="E13" s="3">
        <f>ROUND(VLOOKUP(B13,テーブル!$A$5:$F$10,3,0)*D13,-2)</f>
        <v>26300</v>
      </c>
      <c r="F13" s="25">
        <f>ROUNDDOWN(INDEX(テーブル!$D$5:$F$10,MATCH(B13,テーブル!$A$5:$A$10,0),MATCH(D13,テーブル!$D$4:$F$4,1))*D13,-1)</f>
        <v>1950</v>
      </c>
    </row>
    <row r="14" spans="1:6" x14ac:dyDescent="0.15">
      <c r="A14" s="7" t="s">
        <v>23</v>
      </c>
      <c r="B14" s="2">
        <v>101</v>
      </c>
      <c r="C14" s="2" t="str">
        <f>VLOOKUP(B14,テーブル!$A$5:$F$10,2,0)</f>
        <v>商品Ｅ</v>
      </c>
      <c r="D14" s="2">
        <v>9</v>
      </c>
      <c r="E14" s="3">
        <f>ROUND(VLOOKUP(B14,テーブル!$A$5:$F$10,3,0)*D14,-2)</f>
        <v>64600</v>
      </c>
      <c r="F14" s="25">
        <f>ROUNDDOWN(INDEX(テーブル!$D$5:$F$10,MATCH(B14,テーブル!$A$5:$A$10,0),MATCH(D14,テーブル!$D$4:$F$4,1))*D14,-1)</f>
        <v>3360</v>
      </c>
    </row>
    <row r="15" spans="1:6" x14ac:dyDescent="0.15">
      <c r="A15" s="7" t="s">
        <v>23</v>
      </c>
      <c r="B15" s="2">
        <v>102</v>
      </c>
      <c r="C15" s="2" t="str">
        <f>VLOOKUP(B15,テーブル!$A$5:$F$10,2,0)</f>
        <v>商品Ｆ</v>
      </c>
      <c r="D15" s="2">
        <v>5</v>
      </c>
      <c r="E15" s="3">
        <f>ROUND(VLOOKUP(B15,テーブル!$A$5:$F$10,3,0)*D15,-2)</f>
        <v>33700</v>
      </c>
      <c r="F15" s="25">
        <f>ROUNDDOWN(INDEX(テーブル!$D$5:$F$10,MATCH(B15,テーブル!$A$5:$A$10,0),MATCH(D15,テーブル!$D$4:$F$4,1))*D15,-1)</f>
        <v>2260</v>
      </c>
    </row>
    <row r="16" spans="1:6" x14ac:dyDescent="0.15">
      <c r="A16" s="7" t="s">
        <v>23</v>
      </c>
      <c r="B16" s="2">
        <v>103</v>
      </c>
      <c r="C16" s="2" t="str">
        <f>VLOOKUP(B16,テーブル!$A$5:$F$10,2,0)</f>
        <v>商品Ｇ</v>
      </c>
      <c r="D16" s="2">
        <v>11</v>
      </c>
      <c r="E16" s="3">
        <f>ROUND(VLOOKUP(B16,テーブル!$A$5:$F$10,3,0)*D16,-2)</f>
        <v>65300</v>
      </c>
      <c r="F16" s="25">
        <f>ROUNDDOWN(INDEX(テーブル!$D$5:$F$10,MATCH(B16,テーブル!$A$5:$A$10,0),MATCH(D16,テーブル!$D$4:$F$4,1))*D16,-1)</f>
        <v>2320</v>
      </c>
    </row>
    <row r="17" spans="1:7" x14ac:dyDescent="0.15">
      <c r="A17" s="7" t="s">
        <v>23</v>
      </c>
      <c r="B17" s="2">
        <v>104</v>
      </c>
      <c r="C17" s="2" t="str">
        <f>VLOOKUP(B17,テーブル!$A$5:$F$10,2,0)</f>
        <v>商品Ｈ</v>
      </c>
      <c r="D17" s="2">
        <v>6</v>
      </c>
      <c r="E17" s="3">
        <f>ROUND(VLOOKUP(B17,テーブル!$A$5:$F$10,3,0)*D17,-2)</f>
        <v>27700</v>
      </c>
      <c r="F17" s="25">
        <f>ROUNDDOWN(INDEX(テーブル!$D$5:$F$10,MATCH(B17,テーブル!$A$5:$A$10,0),MATCH(D17,テーブル!$D$4:$F$4,1))*D17,-1)</f>
        <v>2130</v>
      </c>
    </row>
    <row r="18" spans="1:7" x14ac:dyDescent="0.15">
      <c r="A18" s="7" t="s">
        <v>23</v>
      </c>
      <c r="B18" s="2">
        <v>105</v>
      </c>
      <c r="C18" s="2" t="str">
        <f>VLOOKUP(B18,テーブル!$A$5:$F$10,2,0)</f>
        <v>商品Ｉ</v>
      </c>
      <c r="D18" s="2">
        <v>8</v>
      </c>
      <c r="E18" s="3">
        <f>ROUND(VLOOKUP(B18,テーブル!$A$5:$F$10,3,0)*D18,-2)</f>
        <v>30600</v>
      </c>
      <c r="F18" s="25">
        <f>ROUNDDOWN(INDEX(テーブル!$D$5:$F$10,MATCH(B18,テーブル!$A$5:$A$10,0),MATCH(D18,テーブル!$D$4:$F$4,1))*D18,-1)</f>
        <v>2160</v>
      </c>
    </row>
    <row r="19" spans="1:7" x14ac:dyDescent="0.15">
      <c r="A19" s="7" t="s">
        <v>23</v>
      </c>
      <c r="B19" s="2">
        <v>106</v>
      </c>
      <c r="C19" s="2" t="str">
        <f>VLOOKUP(B19,テーブル!$A$5:$F$10,2,0)</f>
        <v>商品Ｊ</v>
      </c>
      <c r="D19" s="2">
        <v>13</v>
      </c>
      <c r="E19" s="3">
        <f>ROUND(VLOOKUP(B19,テーブル!$A$5:$F$10,3,0)*D19,-2)</f>
        <v>42800</v>
      </c>
      <c r="F19" s="25">
        <f>ROUNDDOWN(INDEX(テーブル!$D$5:$F$10,MATCH(B19,テーブル!$A$5:$A$10,0),MATCH(D19,テーブル!$D$4:$F$4,1))*D19,-1)</f>
        <v>1760</v>
      </c>
    </row>
    <row r="20" spans="1:7" x14ac:dyDescent="0.15">
      <c r="A20" s="7" t="s">
        <v>37</v>
      </c>
      <c r="B20" s="2">
        <v>101</v>
      </c>
      <c r="C20" s="2" t="str">
        <f>VLOOKUP(B20,テーブル!$A$5:$F$10,2,0)</f>
        <v>商品Ｅ</v>
      </c>
      <c r="D20" s="2">
        <v>6</v>
      </c>
      <c r="E20" s="3">
        <f>ROUND(VLOOKUP(B20,テーブル!$A$5:$F$10,3,0)*D20,-2)</f>
        <v>43100</v>
      </c>
      <c r="F20" s="25">
        <f>ROUNDDOWN(INDEX(テーブル!$D$5:$F$10,MATCH(B20,テーブル!$A$5:$A$10,0),MATCH(D20,テーブル!$D$4:$F$4,1))*D20,-1)</f>
        <v>3010</v>
      </c>
    </row>
    <row r="21" spans="1:7" x14ac:dyDescent="0.15">
      <c r="A21" s="7" t="s">
        <v>37</v>
      </c>
      <c r="B21" s="2">
        <v>102</v>
      </c>
      <c r="C21" s="2" t="str">
        <f>VLOOKUP(B21,テーブル!$A$5:$F$10,2,0)</f>
        <v>商品Ｆ</v>
      </c>
      <c r="D21" s="2">
        <v>9</v>
      </c>
      <c r="E21" s="3">
        <f>ROUND(VLOOKUP(B21,テーブル!$A$5:$F$10,3,0)*D21,-2)</f>
        <v>60600</v>
      </c>
      <c r="F21" s="25">
        <f>ROUNDDOWN(INDEX(テーブル!$D$5:$F$10,MATCH(B21,テーブル!$A$5:$A$10,0),MATCH(D21,テーブル!$D$4:$F$4,1))*D21,-1)</f>
        <v>3130</v>
      </c>
    </row>
    <row r="22" spans="1:7" x14ac:dyDescent="0.15">
      <c r="A22" s="7" t="s">
        <v>37</v>
      </c>
      <c r="B22" s="2">
        <v>103</v>
      </c>
      <c r="C22" s="2" t="str">
        <f>VLOOKUP(B22,テーブル!$A$5:$F$10,2,0)</f>
        <v>商品Ｇ</v>
      </c>
      <c r="D22" s="2">
        <v>6</v>
      </c>
      <c r="E22" s="3">
        <f>ROUND(VLOOKUP(B22,テーブル!$A$5:$F$10,3,0)*D22,-2)</f>
        <v>35600</v>
      </c>
      <c r="F22" s="25">
        <f>ROUNDDOWN(INDEX(テーブル!$D$5:$F$10,MATCH(B22,テーブル!$A$5:$A$10,0),MATCH(D22,テーブル!$D$4:$F$4,1))*D22,-1)</f>
        <v>2420</v>
      </c>
    </row>
    <row r="23" spans="1:7" x14ac:dyDescent="0.15">
      <c r="A23" s="7" t="s">
        <v>37</v>
      </c>
      <c r="B23" s="2">
        <v>104</v>
      </c>
      <c r="C23" s="2" t="str">
        <f>VLOOKUP(B23,テーブル!$A$5:$F$10,2,0)</f>
        <v>商品Ｈ</v>
      </c>
      <c r="D23" s="2">
        <v>13</v>
      </c>
      <c r="E23" s="3">
        <f>ROUND(VLOOKUP(B23,テーブル!$A$5:$F$10,3,0)*D23,-2)</f>
        <v>59900</v>
      </c>
      <c r="F23" s="25">
        <f>ROUNDDOWN(INDEX(テーブル!$D$5:$F$10,MATCH(B23,テーブル!$A$5:$A$10,0),MATCH(D23,テーブル!$D$4:$F$4,1))*D23,-1)</f>
        <v>2410</v>
      </c>
    </row>
    <row r="24" spans="1:7" x14ac:dyDescent="0.15">
      <c r="A24" s="7" t="s">
        <v>37</v>
      </c>
      <c r="B24" s="2">
        <v>105</v>
      </c>
      <c r="C24" s="2" t="str">
        <f>VLOOKUP(B24,テーブル!$A$5:$F$10,2,0)</f>
        <v>商品Ｉ</v>
      </c>
      <c r="D24" s="2">
        <v>15</v>
      </c>
      <c r="E24" s="3">
        <f>ROUND(VLOOKUP(B24,テーブル!$A$5:$F$10,3,0)*D24,-2)</f>
        <v>57300</v>
      </c>
      <c r="F24" s="25">
        <f>ROUNDDOWN(INDEX(テーブル!$D$5:$F$10,MATCH(B24,テーブル!$A$5:$A$10,0),MATCH(D24,テーブル!$D$4:$F$4,1))*D24,-1)</f>
        <v>2410</v>
      </c>
    </row>
    <row r="25" spans="1:7" x14ac:dyDescent="0.15">
      <c r="A25" s="7" t="s">
        <v>37</v>
      </c>
      <c r="B25" s="2">
        <v>106</v>
      </c>
      <c r="C25" s="2" t="str">
        <f>VLOOKUP(B25,テーブル!$A$5:$F$10,2,0)</f>
        <v>商品Ｊ</v>
      </c>
      <c r="D25" s="2">
        <v>6</v>
      </c>
      <c r="E25" s="3">
        <f>ROUND(VLOOKUP(B25,テーブル!$A$5:$F$10,3,0)*D25,-2)</f>
        <v>19700</v>
      </c>
      <c r="F25" s="25">
        <f>ROUNDDOWN(INDEX(テーブル!$D$5:$F$10,MATCH(B25,テーブル!$A$5:$A$10,0),MATCH(D25,テーブル!$D$4:$F$4,1))*D25,-1)</f>
        <v>1540</v>
      </c>
    </row>
    <row r="26" spans="1:7" x14ac:dyDescent="0.15">
      <c r="A26" s="7"/>
      <c r="B26" s="2"/>
      <c r="C26" s="2"/>
      <c r="D26" s="2"/>
      <c r="E26" s="2"/>
      <c r="F26" s="8"/>
    </row>
    <row r="27" spans="1:7" ht="14.25" thickBot="1" x14ac:dyDescent="0.2">
      <c r="A27" s="13" t="s">
        <v>3</v>
      </c>
      <c r="B27" s="11"/>
      <c r="C27" s="11"/>
      <c r="D27" s="11">
        <f>SUM(D2:D25)</f>
        <v>214</v>
      </c>
      <c r="E27" s="18">
        <f>SUM(E2:E25)</f>
        <v>1116800</v>
      </c>
      <c r="F27" s="26">
        <f>SUM(F2:F25)</f>
        <v>56820</v>
      </c>
      <c r="G27" s="39" t="s">
        <v>58</v>
      </c>
    </row>
    <row r="28" spans="1:7" x14ac:dyDescent="0.15">
      <c r="E28" s="16"/>
    </row>
  </sheetData>
  <phoneticPr fontId="1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34"/>
  <sheetViews>
    <sheetView workbookViewId="0">
      <selection sqref="A1:F1"/>
    </sheetView>
  </sheetViews>
  <sheetFormatPr defaultRowHeight="13.5" x14ac:dyDescent="0.15"/>
  <cols>
    <col min="1" max="1" width="7.5" bestFit="1" customWidth="1"/>
    <col min="2" max="2" width="9.5" bestFit="1" customWidth="1"/>
    <col min="3" max="3" width="10.5" bestFit="1" customWidth="1"/>
    <col min="4" max="4" width="7.5" bestFit="1" customWidth="1"/>
    <col min="5" max="5" width="10.5" bestFit="1" customWidth="1"/>
    <col min="6" max="6" width="9.5" bestFit="1" customWidth="1"/>
    <col min="7" max="7" width="9" customWidth="1"/>
    <col min="8" max="9" width="7.5" bestFit="1" customWidth="1"/>
    <col min="10" max="10" width="5.5" bestFit="1" customWidth="1"/>
    <col min="11" max="13" width="9.5" bestFit="1" customWidth="1"/>
    <col min="14" max="14" width="5.5" bestFit="1" customWidth="1"/>
    <col min="15" max="15" width="9" customWidth="1"/>
    <col min="16" max="16" width="57.125" bestFit="1" customWidth="1"/>
    <col min="17" max="19" width="9.5" bestFit="1" customWidth="1"/>
    <col min="20" max="27" width="9" customWidth="1"/>
  </cols>
  <sheetData>
    <row r="1" spans="1:19" ht="14.25" thickBot="1" x14ac:dyDescent="0.2">
      <c r="A1" s="46" t="s">
        <v>13</v>
      </c>
      <c r="B1" s="46"/>
      <c r="C1" s="46"/>
      <c r="D1" s="46"/>
      <c r="E1" s="46"/>
      <c r="F1" s="46"/>
      <c r="G1" s="14"/>
      <c r="H1" s="46" t="s">
        <v>56</v>
      </c>
      <c r="I1" s="46"/>
      <c r="J1" s="46"/>
      <c r="K1" s="46"/>
      <c r="L1" s="46"/>
      <c r="M1" s="46"/>
      <c r="N1" s="46"/>
    </row>
    <row r="2" spans="1:19" x14ac:dyDescent="0.15">
      <c r="A2" s="4" t="s">
        <v>38</v>
      </c>
      <c r="B2" s="5" t="s">
        <v>5</v>
      </c>
      <c r="C2" s="5" t="s">
        <v>10</v>
      </c>
      <c r="D2" s="5" t="s">
        <v>6</v>
      </c>
      <c r="E2" s="5" t="s">
        <v>7</v>
      </c>
      <c r="F2" s="6" t="s">
        <v>45</v>
      </c>
      <c r="G2" s="14"/>
      <c r="H2" s="4" t="s">
        <v>47</v>
      </c>
      <c r="I2" s="5" t="s">
        <v>51</v>
      </c>
      <c r="J2" s="5" t="s">
        <v>8</v>
      </c>
      <c r="K2" s="5" t="s">
        <v>43</v>
      </c>
      <c r="L2" s="5" t="s">
        <v>48</v>
      </c>
      <c r="M2" s="22" t="s">
        <v>10</v>
      </c>
      <c r="N2" s="6" t="s">
        <v>46</v>
      </c>
      <c r="P2" s="27" t="s">
        <v>55</v>
      </c>
      <c r="Q2" s="20">
        <f>DAVERAGE(データ表!$A$1:$F$25,6,Q6:R8)</f>
        <v>2373.1578947368421</v>
      </c>
      <c r="R2" s="16"/>
    </row>
    <row r="3" spans="1:19" x14ac:dyDescent="0.15">
      <c r="A3" s="7" t="s">
        <v>22</v>
      </c>
      <c r="B3" s="21" t="str">
        <f>VLOOKUP(A3,テーブル!$H$3:$I$6,2,0)</f>
        <v>川村総業</v>
      </c>
      <c r="C3" s="28">
        <f>SUMIF(データ表!$A$2:$A$25,A3,データ表!$E$2:$E$25)+SUMIF(データ表!$A$2:$A$25,A3,データ表!$F$2:$F$25)</f>
        <v>338410</v>
      </c>
      <c r="D3" s="3">
        <f>ROUNDUP(C3*VLOOKUP(C3,テーブル!$K$4:$M$5,IF(RIGHT(A3,1)="X",2,3),1),-2)</f>
        <v>24800</v>
      </c>
      <c r="E3" s="3">
        <f>C3-D3</f>
        <v>313610</v>
      </c>
      <c r="F3" s="31">
        <f>ROUNDDOWN(IF(C3&gt;=300000,E3*1.5%,E3*1.2%),0)</f>
        <v>4704</v>
      </c>
      <c r="H3" s="7">
        <v>104</v>
      </c>
      <c r="I3" s="2" t="str">
        <f>VLOOKUP(H3,テーブル!$A$5:$F$10,2,0)</f>
        <v>商品Ｈ</v>
      </c>
      <c r="J3" s="28">
        <f>SUMIF(データ表!$B$2:$B$25,$H3,データ表!$D$2:$D$25)</f>
        <v>40</v>
      </c>
      <c r="K3" s="28">
        <f>SUMIF(データ表!$B$2:$B$25,$H3,データ表!$E$2:$E$25)</f>
        <v>184400</v>
      </c>
      <c r="L3" s="28">
        <f>SUMIF(データ表!$B$2:$B$25,$H3,データ表!$F$2:$F$25)</f>
        <v>9430</v>
      </c>
      <c r="M3" s="23">
        <f t="shared" ref="M3:M8" si="0">K3+L3</f>
        <v>193830</v>
      </c>
      <c r="N3" s="32" t="str">
        <f>IF(OR(J3&gt;=40,L3&gt;=AVERAGE($L$3:$L$8)),"＊","")</f>
        <v>＊</v>
      </c>
      <c r="P3" s="34" t="s">
        <v>44</v>
      </c>
      <c r="Q3" s="35">
        <f>DCOUNT(データ表!$A$1:$F$25,5,Q9:R10)</f>
        <v>7</v>
      </c>
    </row>
    <row r="4" spans="1:19" ht="14.25" thickBot="1" x14ac:dyDescent="0.2">
      <c r="A4" s="7" t="s">
        <v>36</v>
      </c>
      <c r="B4" s="21" t="str">
        <f>VLOOKUP(A4,テーブル!$H$3:$I$6,2,0)</f>
        <v>加藤企画</v>
      </c>
      <c r="C4" s="28">
        <f>SUMIF(データ表!$A$2:$A$25,A4,データ表!$E$2:$E$25)+SUMIF(データ表!$A$2:$A$25,A4,データ表!$F$2:$F$25)</f>
        <v>265400</v>
      </c>
      <c r="D4" s="3">
        <f>ROUNDUP(C4*VLOOKUP(C4,テーブル!$K$4:$M$5,IF(RIGHT(A4,1)="X",2,3),1),-2)</f>
        <v>17800</v>
      </c>
      <c r="E4" s="3">
        <f>C4-D4</f>
        <v>247600</v>
      </c>
      <c r="F4" s="31">
        <f t="shared" ref="F4:F6" si="1">ROUNDDOWN(IF(C4&gt;=300000,E4*1.5%,E4*1.2%),0)</f>
        <v>2971</v>
      </c>
      <c r="H4" s="7">
        <v>102</v>
      </c>
      <c r="I4" s="2" t="str">
        <f>VLOOKUP(H4,テーブル!$A$5:$F$10,2,0)</f>
        <v>商品Ｆ</v>
      </c>
      <c r="J4" s="28">
        <f>SUMIF(データ表!$B$2:$B$25,$H4,データ表!$D$2:$D$25)</f>
        <v>38</v>
      </c>
      <c r="K4" s="28">
        <f>SUMIF(データ表!$B$2:$B$25,$H4,データ表!$E$2:$E$25)</f>
        <v>255900</v>
      </c>
      <c r="L4" s="28">
        <f>SUMIF(データ表!$B$2:$B$25,$H4,データ表!$F$2:$F$25)</f>
        <v>11050</v>
      </c>
      <c r="M4" s="23">
        <f t="shared" si="0"/>
        <v>266950</v>
      </c>
      <c r="N4" s="32" t="str">
        <f t="shared" ref="N4:N8" si="2">IF(OR(J4&gt;=40,L4&gt;=AVERAGE($L$3:$L$8)),"＊","")</f>
        <v>＊</v>
      </c>
      <c r="P4" s="9" t="s">
        <v>52</v>
      </c>
      <c r="Q4" s="12" t="str">
        <f>DGET(データ表!$A$1:$F$25,3,Q11:Q12)</f>
        <v>商品Ｅ</v>
      </c>
      <c r="R4" s="39" t="s">
        <v>59</v>
      </c>
    </row>
    <row r="5" spans="1:19" ht="14.25" thickBot="1" x14ac:dyDescent="0.2">
      <c r="A5" s="7" t="s">
        <v>23</v>
      </c>
      <c r="B5" s="21" t="str">
        <f>VLOOKUP(A5,テーブル!$H$3:$I$6,2,0)</f>
        <v>中山商事</v>
      </c>
      <c r="C5" s="28">
        <f>SUMIF(データ表!$A$2:$A$25,A5,データ表!$E$2:$E$25)+SUMIF(データ表!$A$2:$A$25,A5,データ表!$F$2:$F$25)</f>
        <v>278690</v>
      </c>
      <c r="D5" s="3">
        <f>ROUNDUP(C5*VLOOKUP(C5,テーブル!$K$4:$M$5,IF(RIGHT(A5,1)="X",2,3),1),-2)</f>
        <v>18700</v>
      </c>
      <c r="E5" s="3">
        <f>C5-D5</f>
        <v>259990</v>
      </c>
      <c r="F5" s="31">
        <f t="shared" si="1"/>
        <v>3119</v>
      </c>
      <c r="H5" s="7">
        <v>106</v>
      </c>
      <c r="I5" s="2" t="str">
        <f>VLOOKUP(H5,テーブル!$A$5:$F$10,2,0)</f>
        <v>商品Ｊ</v>
      </c>
      <c r="J5" s="28">
        <f>SUMIF(データ表!$B$2:$B$25,$H5,データ表!$D$2:$D$25)</f>
        <v>37</v>
      </c>
      <c r="K5" s="28">
        <f>SUMIF(データ表!$B$2:$B$25,$H5,データ表!$E$2:$E$25)</f>
        <v>121700</v>
      </c>
      <c r="L5" s="28">
        <f>SUMIF(データ表!$B$2:$B$25,$H5,データ表!$F$2:$F$25)</f>
        <v>6610</v>
      </c>
      <c r="M5" s="23">
        <f t="shared" si="0"/>
        <v>128310</v>
      </c>
      <c r="N5" s="32" t="str">
        <f t="shared" si="2"/>
        <v/>
      </c>
    </row>
    <row r="6" spans="1:19" x14ac:dyDescent="0.15">
      <c r="A6" s="7" t="s">
        <v>37</v>
      </c>
      <c r="B6" s="21" t="str">
        <f>VLOOKUP(A6,テーブル!$H$3:$I$6,2,0)</f>
        <v>ＫＹ物産</v>
      </c>
      <c r="C6" s="28">
        <f>SUMIF(データ表!$A$2:$A$25,A6,データ表!$E$2:$E$25)+SUMIF(データ表!$A$2:$A$25,A6,データ表!$F$2:$F$25)</f>
        <v>291120</v>
      </c>
      <c r="D6" s="3">
        <f>ROUNDUP(C6*VLOOKUP(C6,テーブル!$K$4:$M$5,IF(RIGHT(A6,1)="X",2,3),1),-2)</f>
        <v>21300</v>
      </c>
      <c r="E6" s="3">
        <f>C6-D6</f>
        <v>269820</v>
      </c>
      <c r="F6" s="31">
        <f t="shared" si="1"/>
        <v>3237</v>
      </c>
      <c r="H6" s="7">
        <v>105</v>
      </c>
      <c r="I6" s="2" t="str">
        <f>VLOOKUP(H6,テーブル!$A$5:$F$10,2,0)</f>
        <v>商品Ｉ</v>
      </c>
      <c r="J6" s="28">
        <f>SUMIF(データ表!$B$2:$B$25,$H6,データ表!$D$2:$D$25)</f>
        <v>35</v>
      </c>
      <c r="K6" s="28">
        <f>SUMIF(データ表!$B$2:$B$25,$H6,データ表!$E$2:$E$25)</f>
        <v>133700</v>
      </c>
      <c r="L6" s="28">
        <f>SUMIF(データ表!$B$2:$B$25,$H6,データ表!$F$2:$F$25)</f>
        <v>8230</v>
      </c>
      <c r="M6" s="23">
        <f t="shared" si="0"/>
        <v>141930</v>
      </c>
      <c r="N6" s="32" t="str">
        <f t="shared" si="2"/>
        <v/>
      </c>
      <c r="Q6" s="4" t="s">
        <v>39</v>
      </c>
      <c r="R6" s="6" t="s">
        <v>53</v>
      </c>
      <c r="S6" s="14"/>
    </row>
    <row r="7" spans="1:19" x14ac:dyDescent="0.15">
      <c r="A7" s="7"/>
      <c r="B7" s="2"/>
      <c r="C7" s="2"/>
      <c r="D7" s="2"/>
      <c r="E7" s="2"/>
      <c r="F7" s="8"/>
      <c r="H7" s="7">
        <v>101</v>
      </c>
      <c r="I7" s="2" t="str">
        <f>VLOOKUP(H7,テーブル!$A$5:$F$10,2,0)</f>
        <v>商品Ｅ</v>
      </c>
      <c r="J7" s="28">
        <f>SUMIF(データ表!$B$2:$B$25,$H7,データ表!$D$2:$D$25)</f>
        <v>33</v>
      </c>
      <c r="K7" s="28">
        <f>SUMIF(データ表!$B$2:$B$25,$H7,データ表!$E$2:$E$25)</f>
        <v>237000</v>
      </c>
      <c r="L7" s="28">
        <f>SUMIF(データ表!$B$2:$B$25,$H7,データ表!$F$2:$F$25)</f>
        <v>11850</v>
      </c>
      <c r="M7" s="23">
        <f t="shared" si="0"/>
        <v>248850</v>
      </c>
      <c r="N7" s="32" t="str">
        <f t="shared" si="2"/>
        <v>＊</v>
      </c>
      <c r="Q7" s="7" t="s">
        <v>22</v>
      </c>
      <c r="R7" s="8"/>
    </row>
    <row r="8" spans="1:19" ht="14.25" thickBot="1" x14ac:dyDescent="0.2">
      <c r="A8" s="9"/>
      <c r="B8" s="17" t="s">
        <v>14</v>
      </c>
      <c r="C8" s="10">
        <f>SUM(C3:C6)</f>
        <v>1173620</v>
      </c>
      <c r="D8" s="10">
        <f>SUM(D3:D6)</f>
        <v>82600</v>
      </c>
      <c r="E8" s="10">
        <f>SUM(E3:E6)</f>
        <v>1091020</v>
      </c>
      <c r="F8" s="15">
        <f>SUM(F3:F6)</f>
        <v>14031</v>
      </c>
      <c r="G8" s="39" t="s">
        <v>58</v>
      </c>
      <c r="H8" s="9">
        <v>103</v>
      </c>
      <c r="I8" s="11" t="str">
        <f>VLOOKUP(H8,テーブル!$A$5:$F$10,2,0)</f>
        <v>商品Ｇ</v>
      </c>
      <c r="J8" s="18">
        <f>SUMIF(データ表!$B$2:$B$25,$H8,データ表!$D$2:$D$25)</f>
        <v>31</v>
      </c>
      <c r="K8" s="18">
        <f>SUMIF(データ表!$B$2:$B$25,$H8,データ表!$E$2:$E$25)</f>
        <v>184100</v>
      </c>
      <c r="L8" s="18">
        <f>SUMIF(データ表!$B$2:$B$25,$H8,データ表!$F$2:$F$25)</f>
        <v>9650</v>
      </c>
      <c r="M8" s="24">
        <f t="shared" si="0"/>
        <v>193750</v>
      </c>
      <c r="N8" s="33" t="str">
        <f t="shared" si="2"/>
        <v>＊</v>
      </c>
      <c r="O8" s="39" t="s">
        <v>58</v>
      </c>
      <c r="Q8" s="9"/>
      <c r="R8" s="12" t="s">
        <v>54</v>
      </c>
      <c r="S8" s="14"/>
    </row>
    <row r="9" spans="1:19" x14ac:dyDescent="0.15">
      <c r="E9" s="16"/>
      <c r="Q9" s="37" t="s">
        <v>17</v>
      </c>
      <c r="R9" s="38" t="s">
        <v>41</v>
      </c>
    </row>
    <row r="10" spans="1:19" ht="14.25" thickBot="1" x14ac:dyDescent="0.2">
      <c r="Q10" s="9" t="s">
        <v>40</v>
      </c>
      <c r="R10" s="12" t="s">
        <v>42</v>
      </c>
      <c r="S10" s="14"/>
    </row>
    <row r="11" spans="1:19" x14ac:dyDescent="0.15">
      <c r="Q11" s="19" t="s">
        <v>49</v>
      </c>
      <c r="R11" s="14"/>
    </row>
    <row r="12" spans="1:19" ht="14.25" thickBot="1" x14ac:dyDescent="0.2">
      <c r="I12" s="14"/>
      <c r="J12" s="14"/>
      <c r="K12" s="14"/>
      <c r="Q12" s="36">
        <f>MAX(データ表!F2:F25)</f>
        <v>3360</v>
      </c>
    </row>
    <row r="20" spans="17:17" x14ac:dyDescent="0.15">
      <c r="Q20" t="s">
        <v>50</v>
      </c>
    </row>
    <row r="34" spans="15:15" x14ac:dyDescent="0.15">
      <c r="O34" s="39" t="s">
        <v>57</v>
      </c>
    </row>
  </sheetData>
  <sortState xmlns:xlrd2="http://schemas.microsoft.com/office/spreadsheetml/2017/richdata2" ref="H3:N8">
    <sortCondition descending="1" ref="J3:J8"/>
  </sortState>
  <mergeCells count="2">
    <mergeCell ref="H1:N1"/>
    <mergeCell ref="A1:F1"/>
  </mergeCells>
  <phoneticPr fontId="1"/>
  <printOptions headings="1"/>
  <pageMargins left="0.70866141732283472" right="0.70866141732283472" top="0.74803149606299213" bottom="0.74803149606299213" header="0.31496062992125984" footer="0.31496062992125984"/>
  <pageSetup paperSize="9" scale="64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テーブル</vt:lpstr>
      <vt:lpstr>データ表</vt:lpstr>
      <vt:lpstr>計算表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今津 可奈子</cp:lastModifiedBy>
  <cp:lastPrinted>2024-09-10T03:52:14Z</cp:lastPrinted>
  <dcterms:created xsi:type="dcterms:W3CDTF">2019-03-28T01:49:55Z</dcterms:created>
  <dcterms:modified xsi:type="dcterms:W3CDTF">2024-09-10T03:52:42Z</dcterms:modified>
</cp:coreProperties>
</file>