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3(令和05)年度\令和06年02月\1表計算\SPS_202402\"/>
    </mc:Choice>
  </mc:AlternateContent>
  <xr:revisionPtr revIDLastSave="0" documentId="13_ncr:1_{77648AE5-4AED-48FC-8F3B-B6BBCEA8715F}" xr6:coauthVersionLast="47" xr6:coauthVersionMax="47" xr10:uidLastSave="{00000000-0000-0000-0000-000000000000}"/>
  <bookViews>
    <workbookView xWindow="-120" yWindow="-120" windowWidth="29040" windowHeight="15840" tabRatio="439" xr2:uid="{00000000-000D-0000-FFFF-FFFF00000000}"/>
  </bookViews>
  <sheets>
    <sheet name="テーブル" sheetId="13" r:id="rId1"/>
    <sheet name="仕入データ表" sheetId="14" r:id="rId2"/>
    <sheet name="販売データ表" sheetId="15" r:id="rId3"/>
    <sheet name="計算表" sheetId="16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販売データ表!$A$1:$E$22</definedName>
  </definedNames>
  <calcPr calcId="181029"/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3" i="16"/>
  <c r="D2" i="14"/>
  <c r="K5" i="16" l="1"/>
  <c r="K4" i="16"/>
  <c r="K6" i="16"/>
  <c r="K3" i="16"/>
  <c r="D4" i="16" l="1"/>
  <c r="D5" i="16"/>
  <c r="D6" i="16"/>
  <c r="D7" i="16"/>
  <c r="D8" i="16"/>
  <c r="D3" i="16"/>
  <c r="C4" i="16"/>
  <c r="C5" i="16"/>
  <c r="C6" i="16"/>
  <c r="C7" i="16"/>
  <c r="C8" i="16"/>
  <c r="C3" i="16"/>
  <c r="C39" i="15"/>
  <c r="B39" i="14"/>
  <c r="D26" i="14"/>
  <c r="E26" i="14" s="1"/>
  <c r="D27" i="14"/>
  <c r="E27" i="14" s="1"/>
  <c r="D28" i="14"/>
  <c r="E28" i="14" s="1"/>
  <c r="D29" i="14"/>
  <c r="E29" i="14" s="1"/>
  <c r="D30" i="14"/>
  <c r="E30" i="14" s="1"/>
  <c r="D31" i="14"/>
  <c r="E31" i="14" s="1"/>
  <c r="D32" i="14"/>
  <c r="E32" i="14" s="1"/>
  <c r="D33" i="14"/>
  <c r="E33" i="14" s="1"/>
  <c r="D34" i="14"/>
  <c r="E34" i="14" s="1"/>
  <c r="D35" i="14"/>
  <c r="E35" i="14" s="1"/>
  <c r="D36" i="14"/>
  <c r="E36" i="14" s="1"/>
  <c r="D37" i="14"/>
  <c r="E37" i="14" s="1"/>
  <c r="D26" i="15" l="1"/>
  <c r="E26" i="15" s="1"/>
  <c r="D27" i="15"/>
  <c r="E27" i="15" s="1"/>
  <c r="D28" i="15"/>
  <c r="D29" i="15"/>
  <c r="E29" i="15" s="1"/>
  <c r="D30" i="15"/>
  <c r="E30" i="15" s="1"/>
  <c r="D31" i="15"/>
  <c r="E31" i="15" s="1"/>
  <c r="D32" i="15"/>
  <c r="E32" i="15" s="1"/>
  <c r="D33" i="15"/>
  <c r="E33" i="15" s="1"/>
  <c r="D34" i="15"/>
  <c r="E34" i="15" s="1"/>
  <c r="D35" i="15"/>
  <c r="E35" i="15" s="1"/>
  <c r="D36" i="15"/>
  <c r="E36" i="15" s="1"/>
  <c r="D37" i="15"/>
  <c r="E37" i="15" s="1"/>
  <c r="J6" i="16"/>
  <c r="J4" i="16"/>
  <c r="J5" i="16"/>
  <c r="J3" i="16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" i="15"/>
  <c r="L5" i="16" l="1"/>
  <c r="M5" i="16" s="1"/>
  <c r="E28" i="15"/>
  <c r="B8" i="16"/>
  <c r="B7" i="16"/>
  <c r="B6" i="16"/>
  <c r="B5" i="16"/>
  <c r="B4" i="16"/>
  <c r="B3" i="16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2" i="15"/>
  <c r="D25" i="14"/>
  <c r="E25" i="14" s="1"/>
  <c r="D24" i="14"/>
  <c r="E24" i="14" s="1"/>
  <c r="D23" i="14"/>
  <c r="E23" i="14" s="1"/>
  <c r="D22" i="14"/>
  <c r="E22" i="14" s="1"/>
  <c r="D21" i="14"/>
  <c r="E21" i="14" s="1"/>
  <c r="D20" i="14"/>
  <c r="E20" i="14" s="1"/>
  <c r="D19" i="14"/>
  <c r="E19" i="14" s="1"/>
  <c r="D18" i="14"/>
  <c r="E18" i="14" s="1"/>
  <c r="D17" i="14"/>
  <c r="E17" i="14" s="1"/>
  <c r="D16" i="14"/>
  <c r="E16" i="14" s="1"/>
  <c r="D15" i="14"/>
  <c r="E15" i="14" s="1"/>
  <c r="D14" i="14"/>
  <c r="E14" i="14" s="1"/>
  <c r="D13" i="14"/>
  <c r="E13" i="14" s="1"/>
  <c r="D12" i="14"/>
  <c r="E12" i="14" s="1"/>
  <c r="D11" i="14"/>
  <c r="E11" i="14" s="1"/>
  <c r="D10" i="14"/>
  <c r="E10" i="14" s="1"/>
  <c r="D9" i="14"/>
  <c r="E9" i="14" s="1"/>
  <c r="D8" i="14"/>
  <c r="E8" i="14" s="1"/>
  <c r="D7" i="14"/>
  <c r="E7" i="14" s="1"/>
  <c r="D6" i="14"/>
  <c r="E6" i="14" s="1"/>
  <c r="D5" i="14"/>
  <c r="E5" i="14" s="1"/>
  <c r="D4" i="14"/>
  <c r="E4" i="14" s="1"/>
  <c r="D3" i="14"/>
  <c r="E3" i="14" s="1"/>
  <c r="L3" i="16" l="1"/>
  <c r="M3" i="16" s="1"/>
  <c r="L6" i="16"/>
  <c r="M6" i="16" s="1"/>
  <c r="L4" i="16"/>
  <c r="M4" i="16" s="1"/>
  <c r="F6" i="16"/>
  <c r="F8" i="16"/>
  <c r="F4" i="16"/>
  <c r="F5" i="16"/>
  <c r="F7" i="16"/>
  <c r="E39" i="15"/>
  <c r="D39" i="14"/>
  <c r="P5" i="16"/>
  <c r="E7" i="16"/>
  <c r="E6" i="16"/>
  <c r="E5" i="16"/>
  <c r="E3" i="16"/>
  <c r="E4" i="16"/>
  <c r="E8" i="16"/>
  <c r="D10" i="16"/>
  <c r="C10" i="16"/>
  <c r="K8" i="16"/>
  <c r="E2" i="14"/>
  <c r="E39" i="14" s="1"/>
  <c r="P4" i="16" l="1"/>
  <c r="N4" i="16"/>
  <c r="P6" i="16"/>
  <c r="N6" i="16"/>
  <c r="P3" i="16"/>
  <c r="N3" i="16"/>
  <c r="F3" i="16"/>
  <c r="F10" i="16" s="1"/>
  <c r="N5" i="16"/>
  <c r="L8" i="16"/>
  <c r="E10" i="16"/>
  <c r="N8" i="16" l="1"/>
  <c r="O6" i="16" s="1"/>
  <c r="M8" i="16"/>
  <c r="O3" i="16" l="1"/>
  <c r="O4" i="16"/>
  <c r="O5" i="16"/>
  <c r="O8" i="16" l="1"/>
</calcChain>
</file>

<file path=xl/sharedStrings.xml><?xml version="1.0" encoding="utf-8"?>
<sst xmlns="http://schemas.openxmlformats.org/spreadsheetml/2006/main" count="114" uniqueCount="53">
  <si>
    <t xml:space="preserve"> </t>
    <phoneticPr fontId="2"/>
  </si>
  <si>
    <t>＜商品テーブル＞</t>
    <phoneticPr fontId="2"/>
  </si>
  <si>
    <t>＜値引率テーブル＞</t>
    <rPh sb="1" eb="3">
      <t>ネビキ</t>
    </rPh>
    <rPh sb="3" eb="4">
      <t>リツ</t>
    </rPh>
    <phoneticPr fontId="2"/>
  </si>
  <si>
    <t>＜販売先テーブル＞</t>
    <rPh sb="1" eb="3">
      <t>ハンバイ</t>
    </rPh>
    <phoneticPr fontId="2"/>
  </si>
  <si>
    <t>商ＣＯ</t>
  </si>
  <si>
    <t>商品</t>
    <phoneticPr fontId="2"/>
  </si>
  <si>
    <t>定価</t>
    <rPh sb="0" eb="2">
      <t>テイカ</t>
    </rPh>
    <phoneticPr fontId="2"/>
  </si>
  <si>
    <t>期首在庫数</t>
    <rPh sb="0" eb="2">
      <t>キシュ</t>
    </rPh>
    <rPh sb="2" eb="5">
      <t>ザイコスウ</t>
    </rPh>
    <phoneticPr fontId="2"/>
  </si>
  <si>
    <t>区分</t>
    <rPh sb="0" eb="2">
      <t>クブン</t>
    </rPh>
    <phoneticPr fontId="2"/>
  </si>
  <si>
    <t>値引率</t>
    <rPh sb="0" eb="2">
      <t>ネビキ</t>
    </rPh>
    <phoneticPr fontId="2"/>
  </si>
  <si>
    <t>販ＣＯ</t>
    <rPh sb="0" eb="1">
      <t>ハン</t>
    </rPh>
    <phoneticPr fontId="2"/>
  </si>
  <si>
    <t>販売先名</t>
    <rPh sb="0" eb="2">
      <t>ハンバイ</t>
    </rPh>
    <phoneticPr fontId="2"/>
  </si>
  <si>
    <t>前月販売額</t>
    <rPh sb="0" eb="2">
      <t>ゼンゲツ</t>
    </rPh>
    <rPh sb="2" eb="4">
      <t>ハンバイ</t>
    </rPh>
    <rPh sb="4" eb="5">
      <t>ガク</t>
    </rPh>
    <phoneticPr fontId="2"/>
  </si>
  <si>
    <t>Ａ</t>
    <phoneticPr fontId="2"/>
  </si>
  <si>
    <t>S</t>
    <phoneticPr fontId="2"/>
  </si>
  <si>
    <t>明光電気</t>
    <rPh sb="0" eb="2">
      <t>メイコウ</t>
    </rPh>
    <rPh sb="2" eb="4">
      <t>デンキ</t>
    </rPh>
    <phoneticPr fontId="2"/>
  </si>
  <si>
    <t>Ｂ</t>
    <phoneticPr fontId="2"/>
  </si>
  <si>
    <t>T</t>
    <phoneticPr fontId="2"/>
  </si>
  <si>
    <t>ひかり堂</t>
    <rPh sb="3" eb="4">
      <t>ドウ</t>
    </rPh>
    <phoneticPr fontId="5"/>
  </si>
  <si>
    <t>Ｃ</t>
    <phoneticPr fontId="2"/>
  </si>
  <si>
    <t>U</t>
    <phoneticPr fontId="2"/>
  </si>
  <si>
    <t>ＪＰＮＫ</t>
    <phoneticPr fontId="2"/>
  </si>
  <si>
    <t>Ｄ</t>
    <phoneticPr fontId="2"/>
  </si>
  <si>
    <t>星カメラ</t>
    <rPh sb="0" eb="1">
      <t>ホシ</t>
    </rPh>
    <phoneticPr fontId="2"/>
  </si>
  <si>
    <t>Ｅ</t>
    <phoneticPr fontId="2"/>
  </si>
  <si>
    <t>Ｆ</t>
    <phoneticPr fontId="2"/>
  </si>
  <si>
    <t>仕入数</t>
    <rPh sb="0" eb="2">
      <t>シイレ</t>
    </rPh>
    <rPh sb="2" eb="3">
      <t>スウ</t>
    </rPh>
    <phoneticPr fontId="2"/>
  </si>
  <si>
    <t>原価</t>
    <rPh sb="0" eb="2">
      <t>ゲンカ</t>
    </rPh>
    <phoneticPr fontId="2"/>
  </si>
  <si>
    <t>手数料</t>
    <rPh sb="0" eb="3">
      <t>テスウリョウ</t>
    </rPh>
    <phoneticPr fontId="2"/>
  </si>
  <si>
    <t>仕入額</t>
    <rPh sb="0" eb="2">
      <t>シイレ</t>
    </rPh>
    <phoneticPr fontId="2"/>
  </si>
  <si>
    <t>販売数</t>
    <rPh sb="0" eb="2">
      <t>ハンバイ</t>
    </rPh>
    <rPh sb="2" eb="3">
      <t>スウ</t>
    </rPh>
    <phoneticPr fontId="2"/>
  </si>
  <si>
    <t>売価</t>
    <rPh sb="0" eb="2">
      <t>バイカ</t>
    </rPh>
    <phoneticPr fontId="2"/>
  </si>
  <si>
    <t>販売額</t>
    <rPh sb="0" eb="2">
      <t>ハンバイ</t>
    </rPh>
    <rPh sb="2" eb="3">
      <t>ガク</t>
    </rPh>
    <phoneticPr fontId="2"/>
  </si>
  <si>
    <t>商　品　別　計　算　表</t>
    <rPh sb="4" eb="5">
      <t>ベツ</t>
    </rPh>
    <rPh sb="6" eb="7">
      <t>ケイ</t>
    </rPh>
    <rPh sb="8" eb="9">
      <t>サン</t>
    </rPh>
    <rPh sb="10" eb="11">
      <t>ヒョウ</t>
    </rPh>
    <phoneticPr fontId="2"/>
  </si>
  <si>
    <t>販　売　先　別　計　算　表</t>
    <rPh sb="0" eb="1">
      <t>ハン</t>
    </rPh>
    <rPh sb="2" eb="3">
      <t>バイ</t>
    </rPh>
    <phoneticPr fontId="2"/>
  </si>
  <si>
    <t>商品名</t>
  </si>
  <si>
    <t>期末在庫数</t>
    <rPh sb="0" eb="1">
      <t>キ</t>
    </rPh>
    <rPh sb="1" eb="2">
      <t>マツ</t>
    </rPh>
    <rPh sb="2" eb="4">
      <t>ザイコ</t>
    </rPh>
    <rPh sb="4" eb="5">
      <t>スウ</t>
    </rPh>
    <phoneticPr fontId="2"/>
  </si>
  <si>
    <t>利益額</t>
    <rPh sb="0" eb="2">
      <t>リエキ</t>
    </rPh>
    <rPh sb="2" eb="3">
      <t>ガク</t>
    </rPh>
    <phoneticPr fontId="2"/>
  </si>
  <si>
    <t>販売額</t>
    <rPh sb="0" eb="2">
      <t>ハンバイ</t>
    </rPh>
    <phoneticPr fontId="2"/>
  </si>
  <si>
    <t>諸経費</t>
  </si>
  <si>
    <t>請求額</t>
  </si>
  <si>
    <t>奨励金</t>
    <rPh sb="0" eb="3">
      <t>ショウレイキン</t>
    </rPh>
    <phoneticPr fontId="2"/>
  </si>
  <si>
    <t>前月比</t>
    <rPh sb="0" eb="3">
      <t>ゼンゲツヒ</t>
    </rPh>
    <phoneticPr fontId="2"/>
  </si>
  <si>
    <t>合　計</t>
    <rPh sb="0" eb="1">
      <t>ア</t>
    </rPh>
    <rPh sb="2" eb="3">
      <t>ケイ</t>
    </rPh>
    <phoneticPr fontId="5"/>
  </si>
  <si>
    <t>11T</t>
    <phoneticPr fontId="2"/>
  </si>
  <si>
    <t>12S</t>
    <phoneticPr fontId="2"/>
  </si>
  <si>
    <t>13U</t>
    <phoneticPr fontId="2"/>
  </si>
  <si>
    <t>14S</t>
    <phoneticPr fontId="2"/>
  </si>
  <si>
    <t>合　計</t>
    <rPh sb="0" eb="1">
      <t>ゴウ</t>
    </rPh>
    <rPh sb="2" eb="3">
      <t>ケイ</t>
    </rPh>
    <phoneticPr fontId="2"/>
  </si>
  <si>
    <t>判定</t>
    <rPh sb="0" eb="2">
      <t>ハンテイ</t>
    </rPh>
    <phoneticPr fontId="2"/>
  </si>
  <si>
    <t>【100点】</t>
    <rPh sb="4" eb="5">
      <t>テン</t>
    </rPh>
    <phoneticPr fontId="5"/>
  </si>
  <si>
    <t>グラフ【20点】</t>
    <rPh sb="6" eb="7">
      <t>テン</t>
    </rPh>
    <phoneticPr fontId="5"/>
  </si>
  <si>
    <t>合　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</si>
</sst>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1">
      <alignment vertical="center"/>
    </xf>
    <xf numFmtId="38" fontId="0" fillId="0" borderId="1" xfId="3" applyFont="1" applyBorder="1">
      <alignment vertical="center"/>
    </xf>
    <xf numFmtId="38" fontId="0" fillId="0" borderId="0" xfId="3" applyFont="1">
      <alignment vertical="center"/>
    </xf>
    <xf numFmtId="0" fontId="3" fillId="0" borderId="1" xfId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3" fillId="0" borderId="1" xfId="1" applyBorder="1">
      <alignment vertical="center"/>
    </xf>
    <xf numFmtId="0" fontId="1" fillId="0" borderId="1" xfId="1" applyFont="1" applyBorder="1">
      <alignment vertical="center"/>
    </xf>
    <xf numFmtId="38" fontId="1" fillId="0" borderId="1" xfId="1" applyNumberFormat="1" applyFont="1" applyBorder="1">
      <alignment vertical="center"/>
    </xf>
    <xf numFmtId="176" fontId="1" fillId="0" borderId="1" xfId="1" applyNumberFormat="1" applyFont="1" applyBorder="1">
      <alignment vertical="center"/>
    </xf>
    <xf numFmtId="0" fontId="3" fillId="0" borderId="2" xfId="1" applyBorder="1" applyAlignment="1">
      <alignment horizontal="center" vertical="center"/>
    </xf>
    <xf numFmtId="0" fontId="3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38" fontId="1" fillId="0" borderId="1" xfId="3" applyFont="1" applyFill="1" applyBorder="1">
      <alignment vertical="center"/>
    </xf>
    <xf numFmtId="38" fontId="1" fillId="0" borderId="1" xfId="3" applyFont="1" applyBorder="1">
      <alignment vertical="center"/>
    </xf>
    <xf numFmtId="38" fontId="0" fillId="0" borderId="6" xfId="3" applyFont="1" applyBorder="1">
      <alignment vertical="center"/>
    </xf>
    <xf numFmtId="0" fontId="3" fillId="0" borderId="5" xfId="1" applyBorder="1">
      <alignment vertical="center"/>
    </xf>
    <xf numFmtId="38" fontId="0" fillId="0" borderId="1" xfId="3" applyFont="1" applyFill="1" applyBorder="1">
      <alignment vertical="center"/>
    </xf>
    <xf numFmtId="38" fontId="0" fillId="0" borderId="5" xfId="3" applyFont="1" applyBorder="1">
      <alignment vertical="center"/>
    </xf>
    <xf numFmtId="38" fontId="0" fillId="0" borderId="7" xfId="3" applyFont="1" applyBorder="1" applyAlignment="1">
      <alignment horizontal="center" vertical="center"/>
    </xf>
    <xf numFmtId="38" fontId="0" fillId="0" borderId="8" xfId="3" applyFont="1" applyBorder="1">
      <alignment vertical="center"/>
    </xf>
    <xf numFmtId="38" fontId="0" fillId="0" borderId="10" xfId="3" applyFont="1" applyBorder="1">
      <alignment vertical="center"/>
    </xf>
    <xf numFmtId="0" fontId="3" fillId="0" borderId="4" xfId="1" applyBorder="1" applyAlignment="1">
      <alignment horizontal="center" vertical="center"/>
    </xf>
    <xf numFmtId="38" fontId="0" fillId="0" borderId="6" xfId="3" applyFont="1" applyFill="1" applyBorder="1">
      <alignment vertical="center"/>
    </xf>
    <xf numFmtId="0" fontId="3" fillId="0" borderId="7" xfId="1" applyBorder="1">
      <alignment vertical="center"/>
    </xf>
    <xf numFmtId="0" fontId="3" fillId="0" borderId="8" xfId="1" applyBorder="1" applyAlignment="1">
      <alignment horizontal="center" vertical="center"/>
    </xf>
    <xf numFmtId="38" fontId="0" fillId="0" borderId="8" xfId="3" applyFont="1" applyFill="1" applyBorder="1">
      <alignment vertical="center"/>
    </xf>
    <xf numFmtId="38" fontId="3" fillId="0" borderId="0" xfId="1" applyNumberFormat="1">
      <alignment vertical="center"/>
    </xf>
    <xf numFmtId="176" fontId="0" fillId="0" borderId="6" xfId="4" applyNumberFormat="1" applyFont="1" applyBorder="1">
      <alignment vertical="center"/>
    </xf>
    <xf numFmtId="0" fontId="3" fillId="0" borderId="6" xfId="1" applyBorder="1">
      <alignment vertical="center"/>
    </xf>
    <xf numFmtId="0" fontId="1" fillId="0" borderId="8" xfId="1" applyFont="1" applyBorder="1" applyAlignment="1">
      <alignment horizontal="center" vertical="center"/>
    </xf>
    <xf numFmtId="38" fontId="1" fillId="0" borderId="8" xfId="1" applyNumberFormat="1" applyFont="1" applyBorder="1">
      <alignment vertical="center"/>
    </xf>
    <xf numFmtId="38" fontId="1" fillId="0" borderId="8" xfId="3" applyFont="1" applyBorder="1">
      <alignment vertical="center"/>
    </xf>
    <xf numFmtId="0" fontId="3" fillId="0" borderId="10" xfId="1" applyBorder="1">
      <alignment vertical="center"/>
    </xf>
    <xf numFmtId="0" fontId="1" fillId="0" borderId="9" xfId="1" applyFont="1" applyBorder="1" applyAlignment="1">
      <alignment horizontal="center" vertical="center"/>
    </xf>
    <xf numFmtId="38" fontId="3" fillId="0" borderId="8" xfId="1" applyNumberFormat="1" applyBorder="1">
      <alignment vertical="center"/>
    </xf>
    <xf numFmtId="0" fontId="3" fillId="0" borderId="0" xfId="1" applyAlignment="1">
      <alignment horizontal="center" vertical="center"/>
    </xf>
    <xf numFmtId="0" fontId="1" fillId="0" borderId="5" xfId="1" applyFont="1" applyBorder="1">
      <alignment vertical="center"/>
    </xf>
    <xf numFmtId="0" fontId="1" fillId="0" borderId="11" xfId="1" applyFont="1" applyBorder="1" applyAlignment="1">
      <alignment horizontal="center" vertical="center"/>
    </xf>
    <xf numFmtId="0" fontId="1" fillId="0" borderId="12" xfId="1" applyFont="1" applyBorder="1">
      <alignment vertical="center"/>
    </xf>
    <xf numFmtId="0" fontId="1" fillId="0" borderId="13" xfId="1" applyFont="1" applyBorder="1">
      <alignment vertical="center"/>
    </xf>
    <xf numFmtId="38" fontId="0" fillId="0" borderId="6" xfId="3" applyFont="1" applyBorder="1" applyAlignment="1">
      <alignment horizontal="center" vertical="center"/>
    </xf>
    <xf numFmtId="0" fontId="3" fillId="0" borderId="7" xfId="1" applyBorder="1" applyAlignment="1">
      <alignment horizontal="center" vertical="center"/>
    </xf>
    <xf numFmtId="38" fontId="0" fillId="0" borderId="10" xfId="3" applyFont="1" applyFill="1" applyBorder="1">
      <alignment vertical="center"/>
    </xf>
    <xf numFmtId="0" fontId="3" fillId="0" borderId="0" xfId="1" applyAlignment="1">
      <alignment horizontal="center" vertical="center"/>
    </xf>
    <xf numFmtId="0" fontId="1" fillId="0" borderId="2" xfId="1" applyFont="1" applyBorder="1" applyAlignment="1">
      <alignment horizontal="center" vertical="center"/>
    </xf>
  </cellXfs>
  <cellStyles count="5">
    <cellStyle name="パーセント 2" xfId="2" xr:uid="{111BBFFE-C15F-4229-9D6B-78A8537D96F6}"/>
    <cellStyle name="パーセント 3" xfId="4" xr:uid="{8AD5B470-CFEA-4DE6-AF1D-C75FEE8A016C}"/>
    <cellStyle name="桁区切り 2" xfId="3" xr:uid="{B5CFFF48-CA66-4F4C-9378-A6EC1D0BB782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100" b="0" i="0" baseline="0">
                <a:latin typeface="ＭＳ 明朝" panose="02020609040205080304" pitchFamily="17" charset="-128"/>
                <a:ea typeface="ＭＳ 明朝" panose="02020609040205080304" pitchFamily="17" charset="-128"/>
              </a:rPr>
              <a:t>販売先別の比較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計算表!$N$2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ysClr val="window" lastClr="FFFFFF">
                <a:lumMod val="65000"/>
              </a:sys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計算表!$J$3:$J$6</c:f>
              <c:strCache>
                <c:ptCount val="4"/>
                <c:pt idx="0">
                  <c:v>明光電気</c:v>
                </c:pt>
                <c:pt idx="1">
                  <c:v>ＪＰＮＫ</c:v>
                </c:pt>
                <c:pt idx="2">
                  <c:v>星カメラ</c:v>
                </c:pt>
                <c:pt idx="3">
                  <c:v>ひかり堂</c:v>
                </c:pt>
              </c:strCache>
            </c:strRef>
          </c:cat>
          <c:val>
            <c:numRef>
              <c:f>計算表!$N$3:$N$6</c:f>
              <c:numCache>
                <c:formatCode>#,##0_);[Red]\(#,##0\)</c:formatCode>
                <c:ptCount val="4"/>
                <c:pt idx="0">
                  <c:v>2508552</c:v>
                </c:pt>
                <c:pt idx="1">
                  <c:v>2578207</c:v>
                </c:pt>
                <c:pt idx="2">
                  <c:v>2760020</c:v>
                </c:pt>
                <c:pt idx="3">
                  <c:v>3058117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461728"/>
        <c:axId val="482461072"/>
      </c:barChart>
      <c:lineChart>
        <c:grouping val="standard"/>
        <c:varyColors val="0"/>
        <c:ser>
          <c:idx val="1"/>
          <c:order val="0"/>
          <c:tx>
            <c:strRef>
              <c:f>計算表!$K$2</c:f>
              <c:strCache>
                <c:ptCount val="1"/>
                <c:pt idx="0">
                  <c:v>販売数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計算表!$J$3:$J$6</c:f>
              <c:strCache>
                <c:ptCount val="4"/>
                <c:pt idx="0">
                  <c:v>明光電気</c:v>
                </c:pt>
                <c:pt idx="1">
                  <c:v>ＪＰＮＫ</c:v>
                </c:pt>
                <c:pt idx="2">
                  <c:v>星カメラ</c:v>
                </c:pt>
                <c:pt idx="3">
                  <c:v>ひかり堂</c:v>
                </c:pt>
              </c:strCache>
            </c:strRef>
          </c:cat>
          <c:val>
            <c:numRef>
              <c:f>計算表!$K$3:$K$6</c:f>
              <c:numCache>
                <c:formatCode>#,##0_);[Red]\(#,##0\)</c:formatCode>
                <c:ptCount val="4"/>
                <c:pt idx="0">
                  <c:v>1034</c:v>
                </c:pt>
                <c:pt idx="1">
                  <c:v>1024</c:v>
                </c:pt>
                <c:pt idx="2">
                  <c:v>1100</c:v>
                </c:pt>
                <c:pt idx="3">
                  <c:v>1172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7248"/>
        <c:axId val="117238784"/>
      </c:lineChart>
      <c:catAx>
        <c:axId val="11723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8784"/>
        <c:crosses val="autoZero"/>
        <c:auto val="1"/>
        <c:lblAlgn val="ctr"/>
        <c:lblOffset val="100"/>
        <c:noMultiLvlLbl val="0"/>
      </c:catAx>
      <c:valAx>
        <c:axId val="117238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7248"/>
        <c:crosses val="autoZero"/>
        <c:crossBetween val="between"/>
      </c:valAx>
      <c:valAx>
        <c:axId val="482461072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 baseline="0">
                <a:latin typeface="ＭＳ 明朝" panose="02020609040205080304" pitchFamily="17" charset="-128"/>
              </a:defRPr>
            </a:pPr>
            <a:endParaRPr lang="ja-JP"/>
          </a:p>
        </c:txPr>
        <c:crossAx val="482461728"/>
        <c:crosses val="max"/>
        <c:crossBetween val="between"/>
      </c:valAx>
      <c:catAx>
        <c:axId val="482461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461072"/>
        <c:crosses val="autoZero"/>
        <c:auto val="1"/>
        <c:lblAlgn val="ctr"/>
        <c:lblOffset val="100"/>
        <c:noMultiLvlLbl val="0"/>
      </c:cat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anose="02020609040205080304" pitchFamily="17" charset="-128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395286</xdr:colOff>
      <xdr:row>15</xdr:row>
      <xdr:rowOff>38100</xdr:rowOff>
    </xdr:from>
    <xdr:to>
      <xdr:col>17</xdr:col>
      <xdr:colOff>590549</xdr:colOff>
      <xdr:row>31</xdr:row>
      <xdr:rowOff>157162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C09C98A-AB72-796F-51B3-1553F5F7C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1AF7B-00D7-4F1B-AE64-45599F51150B}">
  <sheetPr>
    <pageSetUpPr fitToPage="1"/>
  </sheetPr>
  <dimension ref="A1:M23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11.625" style="1" bestFit="1" customWidth="1"/>
    <col min="5" max="5" width="6" style="1" customWidth="1"/>
    <col min="6" max="6" width="5.5" style="1" bestFit="1" customWidth="1"/>
    <col min="7" max="7" width="7.5" style="1" bestFit="1" customWidth="1"/>
    <col min="8" max="8" width="9" style="1" customWidth="1"/>
    <col min="9" max="9" width="7.5" style="1" bestFit="1" customWidth="1"/>
    <col min="10" max="10" width="9.5" style="1" bestFit="1" customWidth="1"/>
    <col min="11" max="11" width="11.75" style="1" customWidth="1"/>
    <col min="12" max="12" width="9" style="1"/>
    <col min="13" max="13" width="10.5" style="1" bestFit="1" customWidth="1"/>
    <col min="14" max="16384" width="9" style="1"/>
  </cols>
  <sheetData>
    <row r="1" spans="1:13">
      <c r="A1" s="1" t="s">
        <v>1</v>
      </c>
      <c r="F1" s="1" t="s">
        <v>2</v>
      </c>
      <c r="I1" s="1" t="s">
        <v>3</v>
      </c>
    </row>
    <row r="2" spans="1:13">
      <c r="A2" s="4" t="s">
        <v>4</v>
      </c>
      <c r="B2" s="4" t="s">
        <v>5</v>
      </c>
      <c r="C2" s="5" t="s">
        <v>6</v>
      </c>
      <c r="D2" s="5" t="s">
        <v>7</v>
      </c>
      <c r="F2" s="4" t="s">
        <v>8</v>
      </c>
      <c r="G2" s="4" t="s">
        <v>9</v>
      </c>
      <c r="I2" s="4" t="s">
        <v>10</v>
      </c>
      <c r="J2" s="5" t="s">
        <v>11</v>
      </c>
      <c r="K2" s="5" t="s">
        <v>12</v>
      </c>
    </row>
    <row r="3" spans="1:13">
      <c r="A3" s="6">
        <v>101</v>
      </c>
      <c r="B3" s="7" t="s">
        <v>13</v>
      </c>
      <c r="C3" s="8">
        <v>2370</v>
      </c>
      <c r="D3" s="8">
        <v>53</v>
      </c>
      <c r="F3" s="7" t="s">
        <v>14</v>
      </c>
      <c r="G3" s="9">
        <v>8.8999999999999996E-2</v>
      </c>
      <c r="I3" s="7" t="s">
        <v>44</v>
      </c>
      <c r="J3" s="7" t="s">
        <v>15</v>
      </c>
      <c r="K3" s="2">
        <v>2513605</v>
      </c>
      <c r="M3" s="3"/>
    </row>
    <row r="4" spans="1:13">
      <c r="A4" s="6">
        <v>102</v>
      </c>
      <c r="B4" s="7" t="s">
        <v>16</v>
      </c>
      <c r="C4" s="8">
        <v>2210</v>
      </c>
      <c r="D4" s="8">
        <v>60</v>
      </c>
      <c r="F4" s="7" t="s">
        <v>17</v>
      </c>
      <c r="G4" s="9">
        <v>7.8E-2</v>
      </c>
      <c r="I4" s="7" t="s">
        <v>45</v>
      </c>
      <c r="J4" s="7" t="s">
        <v>18</v>
      </c>
      <c r="K4" s="2">
        <v>2349216</v>
      </c>
      <c r="M4" s="3"/>
    </row>
    <row r="5" spans="1:13">
      <c r="A5" s="6">
        <v>103</v>
      </c>
      <c r="B5" s="7" t="s">
        <v>19</v>
      </c>
      <c r="C5" s="8">
        <v>3060</v>
      </c>
      <c r="D5" s="8">
        <v>37</v>
      </c>
      <c r="F5" s="7" t="s">
        <v>20</v>
      </c>
      <c r="G5" s="9">
        <v>6.7000000000000004E-2</v>
      </c>
      <c r="I5" s="7" t="s">
        <v>46</v>
      </c>
      <c r="J5" s="7" t="s">
        <v>21</v>
      </c>
      <c r="K5" s="2">
        <v>2502967</v>
      </c>
      <c r="M5" s="3"/>
    </row>
    <row r="6" spans="1:13">
      <c r="A6" s="6">
        <v>104</v>
      </c>
      <c r="B6" s="7" t="s">
        <v>22</v>
      </c>
      <c r="C6" s="8">
        <v>2590</v>
      </c>
      <c r="D6" s="8">
        <v>66</v>
      </c>
      <c r="I6" s="7" t="s">
        <v>47</v>
      </c>
      <c r="J6" s="7" t="s">
        <v>23</v>
      </c>
      <c r="K6" s="2">
        <v>2794250</v>
      </c>
      <c r="M6" s="3"/>
    </row>
    <row r="7" spans="1:13">
      <c r="A7" s="6">
        <v>105</v>
      </c>
      <c r="B7" s="7" t="s">
        <v>24</v>
      </c>
      <c r="C7" s="8">
        <v>2860</v>
      </c>
      <c r="D7" s="8">
        <v>56</v>
      </c>
    </row>
    <row r="8" spans="1:13">
      <c r="A8" s="6">
        <v>106</v>
      </c>
      <c r="B8" s="7" t="s">
        <v>25</v>
      </c>
      <c r="C8" s="8">
        <v>3140</v>
      </c>
      <c r="D8" s="8">
        <v>42</v>
      </c>
    </row>
    <row r="23" spans="2:2">
      <c r="B23" s="1" t="s">
        <v>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30B0D-7CC2-469F-8C7E-2C24B5925E2B}">
  <sheetPr>
    <pageSetUpPr fitToPage="1"/>
  </sheetPr>
  <dimension ref="A1:F39"/>
  <sheetViews>
    <sheetView zoomScaleNormal="100" workbookViewId="0"/>
  </sheetViews>
  <sheetFormatPr defaultRowHeight="13.5"/>
  <cols>
    <col min="1" max="1" width="7.5" style="1" bestFit="1" customWidth="1"/>
    <col min="2" max="2" width="7.5" style="1" customWidth="1"/>
    <col min="3" max="3" width="6.5" style="1" bestFit="1" customWidth="1"/>
    <col min="4" max="4" width="8.5" style="1" bestFit="1" customWidth="1"/>
    <col min="5" max="5" width="10.5" style="1" bestFit="1" customWidth="1"/>
    <col min="6" max="16384" width="9" style="1"/>
  </cols>
  <sheetData>
    <row r="1" spans="1:5">
      <c r="A1" s="10" t="s">
        <v>4</v>
      </c>
      <c r="B1" s="11" t="s">
        <v>26</v>
      </c>
      <c r="C1" s="11" t="s">
        <v>27</v>
      </c>
      <c r="D1" s="12" t="s">
        <v>28</v>
      </c>
      <c r="E1" s="13" t="s">
        <v>29</v>
      </c>
    </row>
    <row r="2" spans="1:5">
      <c r="A2" s="6">
        <v>101</v>
      </c>
      <c r="B2" s="14">
        <v>72</v>
      </c>
      <c r="C2" s="14">
        <v>1458</v>
      </c>
      <c r="D2" s="2">
        <f>ROUNDUP(IF(OR(B2&gt;=140,C2&gt;=2300),C2*B2*4.7%,C2*B2*5.8%),-1)</f>
        <v>6090</v>
      </c>
      <c r="E2" s="16">
        <f t="shared" ref="E2:E25" si="0">C2*B2+D2</f>
        <v>111066</v>
      </c>
    </row>
    <row r="3" spans="1:5">
      <c r="A3" s="6">
        <v>102</v>
      </c>
      <c r="B3" s="14">
        <v>86</v>
      </c>
      <c r="C3" s="14">
        <v>2089</v>
      </c>
      <c r="D3" s="2">
        <f t="shared" ref="D3:D25" si="1">ROUNDUP(IF(OR(B3&gt;=140,C3&gt;=2300),C3*B3*4.7%,C3*B3*5.8%),-1)</f>
        <v>10420</v>
      </c>
      <c r="E3" s="16">
        <f t="shared" si="0"/>
        <v>190074</v>
      </c>
    </row>
    <row r="4" spans="1:5">
      <c r="A4" s="6">
        <v>103</v>
      </c>
      <c r="B4" s="14">
        <v>85</v>
      </c>
      <c r="C4" s="14">
        <v>1856</v>
      </c>
      <c r="D4" s="2">
        <f t="shared" si="1"/>
        <v>9160</v>
      </c>
      <c r="E4" s="16">
        <f t="shared" si="0"/>
        <v>166920</v>
      </c>
    </row>
    <row r="5" spans="1:5">
      <c r="A5" s="6">
        <v>104</v>
      </c>
      <c r="B5" s="14">
        <v>143</v>
      </c>
      <c r="C5" s="14">
        <v>1835</v>
      </c>
      <c r="D5" s="2">
        <f t="shared" si="1"/>
        <v>12340</v>
      </c>
      <c r="E5" s="16">
        <f t="shared" si="0"/>
        <v>274745</v>
      </c>
    </row>
    <row r="6" spans="1:5">
      <c r="A6" s="6">
        <v>105</v>
      </c>
      <c r="B6" s="14">
        <v>123</v>
      </c>
      <c r="C6" s="14">
        <v>1416</v>
      </c>
      <c r="D6" s="2">
        <f t="shared" si="1"/>
        <v>10110</v>
      </c>
      <c r="E6" s="16">
        <f t="shared" si="0"/>
        <v>184278</v>
      </c>
    </row>
    <row r="7" spans="1:5">
      <c r="A7" s="6">
        <v>106</v>
      </c>
      <c r="B7" s="18">
        <v>86</v>
      </c>
      <c r="C7" s="18">
        <v>1422</v>
      </c>
      <c r="D7" s="2">
        <f t="shared" si="1"/>
        <v>7100</v>
      </c>
      <c r="E7" s="16">
        <f t="shared" si="0"/>
        <v>129392</v>
      </c>
    </row>
    <row r="8" spans="1:5">
      <c r="A8" s="6">
        <v>101</v>
      </c>
      <c r="B8" s="18">
        <v>82</v>
      </c>
      <c r="C8" s="18">
        <v>1467</v>
      </c>
      <c r="D8" s="2">
        <f t="shared" si="1"/>
        <v>6980</v>
      </c>
      <c r="E8" s="16">
        <f t="shared" si="0"/>
        <v>127274</v>
      </c>
    </row>
    <row r="9" spans="1:5">
      <c r="A9" s="6">
        <v>102</v>
      </c>
      <c r="B9" s="18">
        <v>118</v>
      </c>
      <c r="C9" s="18">
        <v>1453</v>
      </c>
      <c r="D9" s="2">
        <f t="shared" si="1"/>
        <v>9950</v>
      </c>
      <c r="E9" s="16">
        <f t="shared" si="0"/>
        <v>181404</v>
      </c>
    </row>
    <row r="10" spans="1:5">
      <c r="A10" s="6">
        <v>103</v>
      </c>
      <c r="B10" s="18">
        <v>110</v>
      </c>
      <c r="C10" s="18">
        <v>2055</v>
      </c>
      <c r="D10" s="2">
        <f t="shared" si="1"/>
        <v>13120</v>
      </c>
      <c r="E10" s="16">
        <f t="shared" si="0"/>
        <v>239170</v>
      </c>
    </row>
    <row r="11" spans="1:5">
      <c r="A11" s="6">
        <v>104</v>
      </c>
      <c r="B11" s="18">
        <v>153</v>
      </c>
      <c r="C11" s="18">
        <v>2357</v>
      </c>
      <c r="D11" s="2">
        <f t="shared" si="1"/>
        <v>16950</v>
      </c>
      <c r="E11" s="16">
        <f t="shared" si="0"/>
        <v>377571</v>
      </c>
    </row>
    <row r="12" spans="1:5">
      <c r="A12" s="6">
        <v>105</v>
      </c>
      <c r="B12" s="18">
        <v>125</v>
      </c>
      <c r="C12" s="18">
        <v>1583</v>
      </c>
      <c r="D12" s="2">
        <f t="shared" si="1"/>
        <v>11480</v>
      </c>
      <c r="E12" s="16">
        <f t="shared" si="0"/>
        <v>209355</v>
      </c>
    </row>
    <row r="13" spans="1:5">
      <c r="A13" s="6">
        <v>106</v>
      </c>
      <c r="B13" s="18">
        <v>107</v>
      </c>
      <c r="C13" s="18">
        <v>2252</v>
      </c>
      <c r="D13" s="2">
        <f t="shared" si="1"/>
        <v>13980</v>
      </c>
      <c r="E13" s="16">
        <f t="shared" si="0"/>
        <v>254944</v>
      </c>
    </row>
    <row r="14" spans="1:5">
      <c r="A14" s="6">
        <v>101</v>
      </c>
      <c r="B14" s="18">
        <v>143</v>
      </c>
      <c r="C14" s="18">
        <v>2165</v>
      </c>
      <c r="D14" s="2">
        <f t="shared" si="1"/>
        <v>14560</v>
      </c>
      <c r="E14" s="16">
        <f t="shared" si="0"/>
        <v>324155</v>
      </c>
    </row>
    <row r="15" spans="1:5">
      <c r="A15" s="6">
        <v>102</v>
      </c>
      <c r="B15" s="18">
        <v>85</v>
      </c>
      <c r="C15" s="18">
        <v>2272</v>
      </c>
      <c r="D15" s="2">
        <f t="shared" si="1"/>
        <v>11210</v>
      </c>
      <c r="E15" s="16">
        <f t="shared" si="0"/>
        <v>204330</v>
      </c>
    </row>
    <row r="16" spans="1:5">
      <c r="A16" s="6">
        <v>103</v>
      </c>
      <c r="B16" s="18">
        <v>160</v>
      </c>
      <c r="C16" s="18">
        <v>2471</v>
      </c>
      <c r="D16" s="2">
        <f t="shared" si="1"/>
        <v>18590</v>
      </c>
      <c r="E16" s="16">
        <f t="shared" si="0"/>
        <v>413950</v>
      </c>
    </row>
    <row r="17" spans="1:5">
      <c r="A17" s="6">
        <v>104</v>
      </c>
      <c r="B17" s="18">
        <v>98</v>
      </c>
      <c r="C17" s="18">
        <v>1872</v>
      </c>
      <c r="D17" s="2">
        <f t="shared" si="1"/>
        <v>10650</v>
      </c>
      <c r="E17" s="16">
        <f t="shared" si="0"/>
        <v>194106</v>
      </c>
    </row>
    <row r="18" spans="1:5">
      <c r="A18" s="6">
        <v>105</v>
      </c>
      <c r="B18" s="18">
        <v>102</v>
      </c>
      <c r="C18" s="18">
        <v>1544</v>
      </c>
      <c r="D18" s="2">
        <f t="shared" si="1"/>
        <v>9140</v>
      </c>
      <c r="E18" s="16">
        <f t="shared" si="0"/>
        <v>166628</v>
      </c>
    </row>
    <row r="19" spans="1:5">
      <c r="A19" s="6">
        <v>106</v>
      </c>
      <c r="B19" s="18">
        <v>94</v>
      </c>
      <c r="C19" s="18">
        <v>2351</v>
      </c>
      <c r="D19" s="2">
        <f t="shared" si="1"/>
        <v>10390</v>
      </c>
      <c r="E19" s="16">
        <f t="shared" si="0"/>
        <v>231384</v>
      </c>
    </row>
    <row r="20" spans="1:5">
      <c r="A20" s="6">
        <v>101</v>
      </c>
      <c r="B20" s="18">
        <v>131</v>
      </c>
      <c r="C20" s="18">
        <v>1490</v>
      </c>
      <c r="D20" s="2">
        <f t="shared" si="1"/>
        <v>11330</v>
      </c>
      <c r="E20" s="16">
        <f t="shared" si="0"/>
        <v>206520</v>
      </c>
    </row>
    <row r="21" spans="1:5">
      <c r="A21" s="6">
        <v>102</v>
      </c>
      <c r="B21" s="18">
        <v>159</v>
      </c>
      <c r="C21" s="18">
        <v>1493</v>
      </c>
      <c r="D21" s="2">
        <f t="shared" si="1"/>
        <v>11160</v>
      </c>
      <c r="E21" s="16">
        <f t="shared" si="0"/>
        <v>248547</v>
      </c>
    </row>
    <row r="22" spans="1:5">
      <c r="A22" s="6">
        <v>103</v>
      </c>
      <c r="B22" s="18">
        <v>129</v>
      </c>
      <c r="C22" s="18">
        <v>1593</v>
      </c>
      <c r="D22" s="2">
        <f t="shared" si="1"/>
        <v>11920</v>
      </c>
      <c r="E22" s="16">
        <f t="shared" si="0"/>
        <v>217417</v>
      </c>
    </row>
    <row r="23" spans="1:5">
      <c r="A23" s="6">
        <v>104</v>
      </c>
      <c r="B23" s="18">
        <v>145</v>
      </c>
      <c r="C23" s="18">
        <v>2036</v>
      </c>
      <c r="D23" s="2">
        <f t="shared" si="1"/>
        <v>13880</v>
      </c>
      <c r="E23" s="16">
        <f t="shared" si="0"/>
        <v>309100</v>
      </c>
    </row>
    <row r="24" spans="1:5">
      <c r="A24" s="6">
        <v>105</v>
      </c>
      <c r="B24" s="18">
        <v>149</v>
      </c>
      <c r="C24" s="18">
        <v>2052</v>
      </c>
      <c r="D24" s="2">
        <f t="shared" si="1"/>
        <v>14380</v>
      </c>
      <c r="E24" s="16">
        <f t="shared" si="0"/>
        <v>320128</v>
      </c>
    </row>
    <row r="25" spans="1:5">
      <c r="A25" s="6">
        <v>106</v>
      </c>
      <c r="B25" s="18">
        <v>135</v>
      </c>
      <c r="C25" s="18">
        <v>1885</v>
      </c>
      <c r="D25" s="2">
        <f t="shared" si="1"/>
        <v>14760</v>
      </c>
      <c r="E25" s="16">
        <f t="shared" si="0"/>
        <v>269235</v>
      </c>
    </row>
    <row r="26" spans="1:5">
      <c r="A26" s="6">
        <v>101</v>
      </c>
      <c r="B26" s="18">
        <v>130</v>
      </c>
      <c r="C26" s="18">
        <v>1438</v>
      </c>
      <c r="D26" s="2">
        <f t="shared" ref="D26:D37" si="2">ROUNDUP(IF(OR(B26&gt;=140,C26&gt;=2300),C26*B26*4.7%,C26*B26*5.8%),-1)</f>
        <v>10850</v>
      </c>
      <c r="E26" s="16">
        <f t="shared" ref="E26:E37" si="3">C26*B26+D26</f>
        <v>197790</v>
      </c>
    </row>
    <row r="27" spans="1:5">
      <c r="A27" s="6">
        <v>102</v>
      </c>
      <c r="B27" s="18">
        <v>94</v>
      </c>
      <c r="C27" s="18">
        <v>1423</v>
      </c>
      <c r="D27" s="2">
        <f t="shared" si="2"/>
        <v>7760</v>
      </c>
      <c r="E27" s="16">
        <f t="shared" si="3"/>
        <v>141522</v>
      </c>
    </row>
    <row r="28" spans="1:5">
      <c r="A28" s="6">
        <v>103</v>
      </c>
      <c r="B28" s="18">
        <v>92</v>
      </c>
      <c r="C28" s="18">
        <v>2438</v>
      </c>
      <c r="D28" s="2">
        <f t="shared" si="2"/>
        <v>10550</v>
      </c>
      <c r="E28" s="16">
        <f t="shared" si="3"/>
        <v>234846</v>
      </c>
    </row>
    <row r="29" spans="1:5">
      <c r="A29" s="6">
        <v>104</v>
      </c>
      <c r="B29" s="18">
        <v>147</v>
      </c>
      <c r="C29" s="18">
        <v>2336</v>
      </c>
      <c r="D29" s="2">
        <f t="shared" si="2"/>
        <v>16140</v>
      </c>
      <c r="E29" s="16">
        <f t="shared" si="3"/>
        <v>359532</v>
      </c>
    </row>
    <row r="30" spans="1:5">
      <c r="A30" s="6">
        <v>105</v>
      </c>
      <c r="B30" s="18">
        <v>93</v>
      </c>
      <c r="C30" s="18">
        <v>2301</v>
      </c>
      <c r="D30" s="2">
        <f t="shared" si="2"/>
        <v>10060</v>
      </c>
      <c r="E30" s="16">
        <f t="shared" si="3"/>
        <v>224053</v>
      </c>
    </row>
    <row r="31" spans="1:5">
      <c r="A31" s="6">
        <v>106</v>
      </c>
      <c r="B31" s="18">
        <v>139</v>
      </c>
      <c r="C31" s="18">
        <v>2454</v>
      </c>
      <c r="D31" s="2">
        <f t="shared" si="2"/>
        <v>16040</v>
      </c>
      <c r="E31" s="16">
        <f t="shared" si="3"/>
        <v>357146</v>
      </c>
    </row>
    <row r="32" spans="1:5">
      <c r="A32" s="6">
        <v>101</v>
      </c>
      <c r="B32" s="18">
        <v>135</v>
      </c>
      <c r="C32" s="18">
        <v>2262</v>
      </c>
      <c r="D32" s="2">
        <f t="shared" si="2"/>
        <v>17720</v>
      </c>
      <c r="E32" s="16">
        <f t="shared" si="3"/>
        <v>323090</v>
      </c>
    </row>
    <row r="33" spans="1:6">
      <c r="A33" s="6">
        <v>102</v>
      </c>
      <c r="B33" s="18">
        <v>132</v>
      </c>
      <c r="C33" s="18">
        <v>1838</v>
      </c>
      <c r="D33" s="2">
        <f t="shared" si="2"/>
        <v>14080</v>
      </c>
      <c r="E33" s="16">
        <f t="shared" si="3"/>
        <v>256696</v>
      </c>
    </row>
    <row r="34" spans="1:6">
      <c r="A34" s="6">
        <v>103</v>
      </c>
      <c r="B34" s="18">
        <v>133</v>
      </c>
      <c r="C34" s="18">
        <v>1948</v>
      </c>
      <c r="D34" s="2">
        <f t="shared" si="2"/>
        <v>15030</v>
      </c>
      <c r="E34" s="16">
        <f t="shared" si="3"/>
        <v>274114</v>
      </c>
    </row>
    <row r="35" spans="1:6">
      <c r="A35" s="6">
        <v>104</v>
      </c>
      <c r="B35" s="18">
        <v>76</v>
      </c>
      <c r="C35" s="18">
        <v>1487</v>
      </c>
      <c r="D35" s="2">
        <f t="shared" si="2"/>
        <v>6560</v>
      </c>
      <c r="E35" s="16">
        <f t="shared" si="3"/>
        <v>119572</v>
      </c>
    </row>
    <row r="36" spans="1:6">
      <c r="A36" s="6">
        <v>105</v>
      </c>
      <c r="B36" s="18">
        <v>154</v>
      </c>
      <c r="C36" s="18">
        <v>1793</v>
      </c>
      <c r="D36" s="2">
        <f t="shared" si="2"/>
        <v>12980</v>
      </c>
      <c r="E36" s="16">
        <f t="shared" si="3"/>
        <v>289102</v>
      </c>
    </row>
    <row r="37" spans="1:6">
      <c r="A37" s="6">
        <v>106</v>
      </c>
      <c r="B37" s="18">
        <v>98</v>
      </c>
      <c r="C37" s="18">
        <v>2274</v>
      </c>
      <c r="D37" s="2">
        <f t="shared" si="2"/>
        <v>12930</v>
      </c>
      <c r="E37" s="16">
        <f t="shared" si="3"/>
        <v>235782</v>
      </c>
    </row>
    <row r="38" spans="1:6">
      <c r="A38" s="19"/>
      <c r="B38" s="2"/>
      <c r="C38" s="2"/>
      <c r="D38" s="2"/>
      <c r="E38" s="16"/>
    </row>
    <row r="39" spans="1:6" ht="14.25" thickBot="1">
      <c r="A39" s="20" t="s">
        <v>52</v>
      </c>
      <c r="B39" s="21">
        <f>SUM(B2:B37)</f>
        <v>4243</v>
      </c>
      <c r="C39" s="21"/>
      <c r="D39" s="21">
        <f>SUM(D2:D37)</f>
        <v>430350</v>
      </c>
      <c r="E39" s="22">
        <f>SUM(E2:E37)</f>
        <v>8564938</v>
      </c>
      <c r="F39" s="1" t="s">
        <v>50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2AC78-0BF3-4C47-B58E-687720881372}">
  <sheetPr>
    <pageSetUpPr fitToPage="1"/>
  </sheetPr>
  <dimension ref="A1:F42"/>
  <sheetViews>
    <sheetView zoomScaleNormal="100" workbookViewId="0"/>
  </sheetViews>
  <sheetFormatPr defaultRowHeight="13.5"/>
  <cols>
    <col min="1" max="1" width="7.5" style="1" bestFit="1" customWidth="1"/>
    <col min="2" max="2" width="7.5" style="1" customWidth="1"/>
    <col min="3" max="3" width="7.5" style="1" bestFit="1" customWidth="1"/>
    <col min="4" max="4" width="6.5" style="1" bestFit="1" customWidth="1"/>
    <col min="5" max="5" width="11.625" style="1" bestFit="1" customWidth="1"/>
    <col min="6" max="16384" width="9" style="1"/>
  </cols>
  <sheetData>
    <row r="1" spans="1:5">
      <c r="A1" s="10" t="s">
        <v>10</v>
      </c>
      <c r="B1" s="11" t="s">
        <v>4</v>
      </c>
      <c r="C1" s="11" t="s">
        <v>30</v>
      </c>
      <c r="D1" s="11" t="s">
        <v>31</v>
      </c>
      <c r="E1" s="23" t="s">
        <v>32</v>
      </c>
    </row>
    <row r="2" spans="1:5">
      <c r="A2" s="38" t="s">
        <v>44</v>
      </c>
      <c r="B2" s="6">
        <v>101</v>
      </c>
      <c r="C2" s="6">
        <v>141</v>
      </c>
      <c r="D2" s="14">
        <f>ROUNDDOWN(VLOOKUP(B2,テーブル!$A$3:$D$8,3,0)*(1-VLOOKUP(RIGHT(A2,1),テーブル!$F$3:$G$5,2,0)),0)</f>
        <v>2185</v>
      </c>
      <c r="E2" s="24">
        <f t="shared" ref="E2:E37" si="0">D2*C2</f>
        <v>308085</v>
      </c>
    </row>
    <row r="3" spans="1:5">
      <c r="A3" s="38" t="s">
        <v>44</v>
      </c>
      <c r="B3" s="6">
        <v>102</v>
      </c>
      <c r="C3" s="6">
        <v>93</v>
      </c>
      <c r="D3" s="14">
        <f>ROUNDDOWN(VLOOKUP(B3,テーブル!$A$3:$D$8,3,0)*(1-VLOOKUP(RIGHT(A3,1),テーブル!$F$3:$G$5,2,0)),0)</f>
        <v>2037</v>
      </c>
      <c r="E3" s="24">
        <f t="shared" si="0"/>
        <v>189441</v>
      </c>
    </row>
    <row r="4" spans="1:5">
      <c r="A4" s="38" t="s">
        <v>44</v>
      </c>
      <c r="B4" s="6">
        <v>103</v>
      </c>
      <c r="C4" s="6">
        <v>101</v>
      </c>
      <c r="D4" s="14">
        <f>ROUNDDOWN(VLOOKUP(B4,テーブル!$A$3:$D$8,3,0)*(1-VLOOKUP(RIGHT(A4,1),テーブル!$F$3:$G$5,2,0)),0)</f>
        <v>2821</v>
      </c>
      <c r="E4" s="24">
        <f t="shared" si="0"/>
        <v>284921</v>
      </c>
    </row>
    <row r="5" spans="1:5">
      <c r="A5" s="38" t="s">
        <v>44</v>
      </c>
      <c r="B5" s="6">
        <v>105</v>
      </c>
      <c r="C5" s="6">
        <v>144</v>
      </c>
      <c r="D5" s="14">
        <f>ROUNDDOWN(VLOOKUP(B5,テーブル!$A$3:$D$8,3,0)*(1-VLOOKUP(RIGHT(A5,1),テーブル!$F$3:$G$5,2,0)),0)</f>
        <v>2636</v>
      </c>
      <c r="E5" s="24">
        <f t="shared" si="0"/>
        <v>379584</v>
      </c>
    </row>
    <row r="6" spans="1:5">
      <c r="A6" s="38" t="s">
        <v>44</v>
      </c>
      <c r="B6" s="6">
        <v>104</v>
      </c>
      <c r="C6" s="6">
        <v>121</v>
      </c>
      <c r="D6" s="14">
        <f>ROUNDDOWN(VLOOKUP(B6,テーブル!$A$3:$D$8,3,0)*(1-VLOOKUP(RIGHT(A6,1),テーブル!$F$3:$G$5,2,0)),0)</f>
        <v>2387</v>
      </c>
      <c r="E6" s="24">
        <f t="shared" si="0"/>
        <v>288827</v>
      </c>
    </row>
    <row r="7" spans="1:5">
      <c r="A7" s="38" t="s">
        <v>44</v>
      </c>
      <c r="B7" s="6">
        <v>106</v>
      </c>
      <c r="C7" s="6">
        <v>99</v>
      </c>
      <c r="D7" s="14">
        <f>ROUNDDOWN(VLOOKUP(B7,テーブル!$A$3:$D$8,3,0)*(1-VLOOKUP(RIGHT(A7,1),テーブル!$F$3:$G$5,2,0)),0)</f>
        <v>2895</v>
      </c>
      <c r="E7" s="24">
        <f t="shared" si="0"/>
        <v>286605</v>
      </c>
    </row>
    <row r="8" spans="1:5">
      <c r="A8" s="38" t="s">
        <v>44</v>
      </c>
      <c r="B8" s="6">
        <v>101</v>
      </c>
      <c r="C8" s="6">
        <v>98</v>
      </c>
      <c r="D8" s="14">
        <f>ROUNDDOWN(VLOOKUP(B8,テーブル!$A$3:$D$8,3,0)*(1-VLOOKUP(RIGHT(A8,1),テーブル!$F$3:$G$5,2,0)),0)</f>
        <v>2185</v>
      </c>
      <c r="E8" s="24">
        <f t="shared" si="0"/>
        <v>214130</v>
      </c>
    </row>
    <row r="9" spans="1:5">
      <c r="A9" s="38" t="s">
        <v>44</v>
      </c>
      <c r="B9" s="6">
        <v>102</v>
      </c>
      <c r="C9" s="6">
        <v>117</v>
      </c>
      <c r="D9" s="14">
        <f>ROUNDDOWN(VLOOKUP(B9,テーブル!$A$3:$D$8,3,0)*(1-VLOOKUP(RIGHT(A9,1),テーブル!$F$3:$G$5,2,0)),0)</f>
        <v>2037</v>
      </c>
      <c r="E9" s="24">
        <f t="shared" si="0"/>
        <v>238329</v>
      </c>
    </row>
    <row r="10" spans="1:5">
      <c r="A10" s="38" t="s">
        <v>44</v>
      </c>
      <c r="B10" s="6">
        <v>104</v>
      </c>
      <c r="C10" s="6">
        <v>120</v>
      </c>
      <c r="D10" s="14">
        <f>ROUNDDOWN(VLOOKUP(B10,テーブル!$A$3:$D$8,3,0)*(1-VLOOKUP(RIGHT(A10,1),テーブル!$F$3:$G$5,2,0)),0)</f>
        <v>2387</v>
      </c>
      <c r="E10" s="24">
        <f t="shared" si="0"/>
        <v>286440</v>
      </c>
    </row>
    <row r="11" spans="1:5">
      <c r="A11" s="38" t="s">
        <v>45</v>
      </c>
      <c r="B11" s="6">
        <v>106</v>
      </c>
      <c r="C11" s="6">
        <v>134</v>
      </c>
      <c r="D11" s="14">
        <f>ROUNDDOWN(VLOOKUP(B11,テーブル!$A$3:$D$8,3,0)*(1-VLOOKUP(RIGHT(A11,1),テーブル!$F$3:$G$5,2,0)),0)</f>
        <v>2860</v>
      </c>
      <c r="E11" s="24">
        <f t="shared" si="0"/>
        <v>383240</v>
      </c>
    </row>
    <row r="12" spans="1:5">
      <c r="A12" s="38" t="s">
        <v>45</v>
      </c>
      <c r="B12" s="6">
        <v>105</v>
      </c>
      <c r="C12" s="6">
        <v>141</v>
      </c>
      <c r="D12" s="14">
        <f>ROUNDDOWN(VLOOKUP(B12,テーブル!$A$3:$D$8,3,0)*(1-VLOOKUP(RIGHT(A12,1),テーブル!$F$3:$G$5,2,0)),0)</f>
        <v>2605</v>
      </c>
      <c r="E12" s="24">
        <f t="shared" si="0"/>
        <v>367305</v>
      </c>
    </row>
    <row r="13" spans="1:5">
      <c r="A13" s="38" t="s">
        <v>45</v>
      </c>
      <c r="B13" s="6">
        <v>102</v>
      </c>
      <c r="C13" s="6">
        <v>113</v>
      </c>
      <c r="D13" s="14">
        <f>ROUNDDOWN(VLOOKUP(B13,テーブル!$A$3:$D$8,3,0)*(1-VLOOKUP(RIGHT(A13,1),テーブル!$F$3:$G$5,2,0)),0)</f>
        <v>2013</v>
      </c>
      <c r="E13" s="24">
        <f t="shared" si="0"/>
        <v>227469</v>
      </c>
    </row>
    <row r="14" spans="1:5">
      <c r="A14" s="38" t="s">
        <v>45</v>
      </c>
      <c r="B14" s="6">
        <v>101</v>
      </c>
      <c r="C14" s="6">
        <v>135</v>
      </c>
      <c r="D14" s="14">
        <f>ROUNDDOWN(VLOOKUP(B14,テーブル!$A$3:$D$8,3,0)*(1-VLOOKUP(RIGHT(A14,1),テーブル!$F$3:$G$5,2,0)),0)</f>
        <v>2159</v>
      </c>
      <c r="E14" s="24">
        <f t="shared" si="0"/>
        <v>291465</v>
      </c>
    </row>
    <row r="15" spans="1:5">
      <c r="A15" s="38" t="s">
        <v>45</v>
      </c>
      <c r="B15" s="6">
        <v>103</v>
      </c>
      <c r="C15" s="6">
        <v>152</v>
      </c>
      <c r="D15" s="14">
        <f>ROUNDDOWN(VLOOKUP(B15,テーブル!$A$3:$D$8,3,0)*(1-VLOOKUP(RIGHT(A15,1),テーブル!$F$3:$G$5,2,0)),0)</f>
        <v>2787</v>
      </c>
      <c r="E15" s="24">
        <f t="shared" si="0"/>
        <v>423624</v>
      </c>
    </row>
    <row r="16" spans="1:5">
      <c r="A16" s="38" t="s">
        <v>45</v>
      </c>
      <c r="B16" s="6">
        <v>104</v>
      </c>
      <c r="C16" s="6">
        <v>149</v>
      </c>
      <c r="D16" s="14">
        <f>ROUNDDOWN(VLOOKUP(B16,テーブル!$A$3:$D$8,3,0)*(1-VLOOKUP(RIGHT(A16,1),テーブル!$F$3:$G$5,2,0)),0)</f>
        <v>2359</v>
      </c>
      <c r="E16" s="24">
        <f t="shared" si="0"/>
        <v>351491</v>
      </c>
    </row>
    <row r="17" spans="1:5">
      <c r="A17" s="38" t="s">
        <v>45</v>
      </c>
      <c r="B17" s="6">
        <v>105</v>
      </c>
      <c r="C17" s="6">
        <v>105</v>
      </c>
      <c r="D17" s="14">
        <f>ROUNDDOWN(VLOOKUP(B17,テーブル!$A$3:$D$8,3,0)*(1-VLOOKUP(RIGHT(A17,1),テーブル!$F$3:$G$5,2,0)),0)</f>
        <v>2605</v>
      </c>
      <c r="E17" s="24">
        <f t="shared" si="0"/>
        <v>273525</v>
      </c>
    </row>
    <row r="18" spans="1:5">
      <c r="A18" s="38" t="s">
        <v>45</v>
      </c>
      <c r="B18" s="6">
        <v>106</v>
      </c>
      <c r="C18" s="6">
        <v>119</v>
      </c>
      <c r="D18" s="14">
        <f>ROUNDDOWN(VLOOKUP(B18,テーブル!$A$3:$D$8,3,0)*(1-VLOOKUP(RIGHT(A18,1),テーブル!$F$3:$G$5,2,0)),0)</f>
        <v>2860</v>
      </c>
      <c r="E18" s="24">
        <f t="shared" si="0"/>
        <v>340340</v>
      </c>
    </row>
    <row r="19" spans="1:5">
      <c r="A19" s="38" t="s">
        <v>45</v>
      </c>
      <c r="B19" s="6">
        <v>103</v>
      </c>
      <c r="C19" s="6">
        <v>124</v>
      </c>
      <c r="D19" s="14">
        <f>ROUNDDOWN(VLOOKUP(B19,テーブル!$A$3:$D$8,3,0)*(1-VLOOKUP(RIGHT(A19,1),テーブル!$F$3:$G$5,2,0)),0)</f>
        <v>2787</v>
      </c>
      <c r="E19" s="24">
        <f t="shared" si="0"/>
        <v>345588</v>
      </c>
    </row>
    <row r="20" spans="1:5">
      <c r="A20" s="38" t="s">
        <v>46</v>
      </c>
      <c r="B20" s="6">
        <v>102</v>
      </c>
      <c r="C20" s="6">
        <v>142</v>
      </c>
      <c r="D20" s="14">
        <f>ROUNDDOWN(VLOOKUP(B20,テーブル!$A$3:$D$8,3,0)*(1-VLOOKUP(RIGHT(A20,1),テーブル!$F$3:$G$5,2,0)),0)</f>
        <v>2061</v>
      </c>
      <c r="E20" s="24">
        <f t="shared" si="0"/>
        <v>292662</v>
      </c>
    </row>
    <row r="21" spans="1:5">
      <c r="A21" s="38" t="s">
        <v>46</v>
      </c>
      <c r="B21" s="6">
        <v>103</v>
      </c>
      <c r="C21" s="6">
        <v>125</v>
      </c>
      <c r="D21" s="14">
        <f>ROUNDDOWN(VLOOKUP(B21,テーブル!$A$3:$D$8,3,0)*(1-VLOOKUP(RIGHT(A21,1),テーブル!$F$3:$G$5,2,0)),0)</f>
        <v>2854</v>
      </c>
      <c r="E21" s="24">
        <f t="shared" si="0"/>
        <v>356750</v>
      </c>
    </row>
    <row r="22" spans="1:5">
      <c r="A22" s="38" t="s">
        <v>46</v>
      </c>
      <c r="B22" s="6">
        <v>104</v>
      </c>
      <c r="C22" s="6">
        <v>136</v>
      </c>
      <c r="D22" s="14">
        <f>ROUNDDOWN(VLOOKUP(B22,テーブル!$A$3:$D$8,3,0)*(1-VLOOKUP(RIGHT(A22,1),テーブル!$F$3:$G$5,2,0)),0)</f>
        <v>2416</v>
      </c>
      <c r="E22" s="24">
        <f t="shared" si="0"/>
        <v>328576</v>
      </c>
    </row>
    <row r="23" spans="1:5">
      <c r="A23" s="38" t="s">
        <v>46</v>
      </c>
      <c r="B23" s="6">
        <v>105</v>
      </c>
      <c r="C23" s="6">
        <v>118</v>
      </c>
      <c r="D23" s="14">
        <f>ROUNDDOWN(VLOOKUP(B23,テーブル!$A$3:$D$8,3,0)*(1-VLOOKUP(RIGHT(A23,1),テーブル!$F$3:$G$5,2,0)),0)</f>
        <v>2668</v>
      </c>
      <c r="E23" s="24">
        <f t="shared" si="0"/>
        <v>314824</v>
      </c>
    </row>
    <row r="24" spans="1:5">
      <c r="A24" s="38" t="s">
        <v>46</v>
      </c>
      <c r="B24" s="6">
        <v>106</v>
      </c>
      <c r="C24" s="6">
        <v>84</v>
      </c>
      <c r="D24" s="14">
        <f>ROUNDDOWN(VLOOKUP(B24,テーブル!$A$3:$D$8,3,0)*(1-VLOOKUP(RIGHT(A24,1),テーブル!$F$3:$G$5,2,0)),0)</f>
        <v>2929</v>
      </c>
      <c r="E24" s="24">
        <f t="shared" si="0"/>
        <v>246036</v>
      </c>
    </row>
    <row r="25" spans="1:5">
      <c r="A25" s="38" t="s">
        <v>46</v>
      </c>
      <c r="B25" s="6">
        <v>101</v>
      </c>
      <c r="C25" s="6">
        <v>104</v>
      </c>
      <c r="D25" s="14">
        <f>ROUNDDOWN(VLOOKUP(B25,テーブル!$A$3:$D$8,3,0)*(1-VLOOKUP(RIGHT(A25,1),テーブル!$F$3:$G$5,2,0)),0)</f>
        <v>2211</v>
      </c>
      <c r="E25" s="24">
        <f t="shared" si="0"/>
        <v>229944</v>
      </c>
    </row>
    <row r="26" spans="1:5">
      <c r="A26" s="38" t="s">
        <v>46</v>
      </c>
      <c r="B26" s="6">
        <v>104</v>
      </c>
      <c r="C26" s="6">
        <v>123</v>
      </c>
      <c r="D26" s="14">
        <f>ROUNDDOWN(VLOOKUP(B26,テーブル!$A$3:$D$8,3,0)*(1-VLOOKUP(RIGHT(A26,1),テーブル!$F$3:$G$5,2,0)),0)</f>
        <v>2416</v>
      </c>
      <c r="E26" s="24">
        <f t="shared" si="0"/>
        <v>297168</v>
      </c>
    </row>
    <row r="27" spans="1:5">
      <c r="A27" s="38" t="s">
        <v>46</v>
      </c>
      <c r="B27" s="6">
        <v>101</v>
      </c>
      <c r="C27" s="6">
        <v>107</v>
      </c>
      <c r="D27" s="14">
        <f>ROUNDDOWN(VLOOKUP(B27,テーブル!$A$3:$D$8,3,0)*(1-VLOOKUP(RIGHT(A27,1),テーブル!$F$3:$G$5,2,0)),0)</f>
        <v>2211</v>
      </c>
      <c r="E27" s="24">
        <f t="shared" si="0"/>
        <v>236577</v>
      </c>
    </row>
    <row r="28" spans="1:5">
      <c r="A28" s="38" t="s">
        <v>46</v>
      </c>
      <c r="B28" s="6">
        <v>103</v>
      </c>
      <c r="C28" s="6">
        <v>85</v>
      </c>
      <c r="D28" s="14">
        <f>ROUNDDOWN(VLOOKUP(B28,テーブル!$A$3:$D$8,3,0)*(1-VLOOKUP(RIGHT(A28,1),テーブル!$F$3:$G$5,2,0)),0)</f>
        <v>2854</v>
      </c>
      <c r="E28" s="24">
        <f t="shared" si="0"/>
        <v>242590</v>
      </c>
    </row>
    <row r="29" spans="1:5">
      <c r="A29" s="38" t="s">
        <v>47</v>
      </c>
      <c r="B29" s="6">
        <v>106</v>
      </c>
      <c r="C29" s="6">
        <v>90</v>
      </c>
      <c r="D29" s="14">
        <f>ROUNDDOWN(VLOOKUP(B29,テーブル!$A$3:$D$8,3,0)*(1-VLOOKUP(RIGHT(A29,1),テーブル!$F$3:$G$5,2,0)),0)</f>
        <v>2860</v>
      </c>
      <c r="E29" s="24">
        <f t="shared" si="0"/>
        <v>257400</v>
      </c>
    </row>
    <row r="30" spans="1:5">
      <c r="A30" s="38" t="s">
        <v>47</v>
      </c>
      <c r="B30" s="6">
        <v>102</v>
      </c>
      <c r="C30" s="6">
        <v>146</v>
      </c>
      <c r="D30" s="14">
        <f>ROUNDDOWN(VLOOKUP(B30,テーブル!$A$3:$D$8,3,0)*(1-VLOOKUP(RIGHT(A30,1),テーブル!$F$3:$G$5,2,0)),0)</f>
        <v>2013</v>
      </c>
      <c r="E30" s="24">
        <f t="shared" si="0"/>
        <v>293898</v>
      </c>
    </row>
    <row r="31" spans="1:5">
      <c r="A31" s="38" t="s">
        <v>47</v>
      </c>
      <c r="B31" s="6">
        <v>105</v>
      </c>
      <c r="C31" s="6">
        <v>147</v>
      </c>
      <c r="D31" s="14">
        <f>ROUNDDOWN(VLOOKUP(B31,テーブル!$A$3:$D$8,3,0)*(1-VLOOKUP(RIGHT(A31,1),テーブル!$F$3:$G$5,2,0)),0)</f>
        <v>2605</v>
      </c>
      <c r="E31" s="24">
        <f t="shared" si="0"/>
        <v>382935</v>
      </c>
    </row>
    <row r="32" spans="1:5">
      <c r="A32" s="38" t="s">
        <v>47</v>
      </c>
      <c r="B32" s="6">
        <v>104</v>
      </c>
      <c r="C32" s="6">
        <v>122</v>
      </c>
      <c r="D32" s="14">
        <f>ROUNDDOWN(VLOOKUP(B32,テーブル!$A$3:$D$8,3,0)*(1-VLOOKUP(RIGHT(A32,1),テーブル!$F$3:$G$5,2,0)),0)</f>
        <v>2359</v>
      </c>
      <c r="E32" s="24">
        <f t="shared" si="0"/>
        <v>287798</v>
      </c>
    </row>
    <row r="33" spans="1:6">
      <c r="A33" s="38" t="s">
        <v>47</v>
      </c>
      <c r="B33" s="6">
        <v>106</v>
      </c>
      <c r="C33" s="6">
        <v>138</v>
      </c>
      <c r="D33" s="14">
        <f>ROUNDDOWN(VLOOKUP(B33,テーブル!$A$3:$D$8,3,0)*(1-VLOOKUP(RIGHT(A33,1),テーブル!$F$3:$G$5,2,0)),0)</f>
        <v>2860</v>
      </c>
      <c r="E33" s="24">
        <f t="shared" si="0"/>
        <v>394680</v>
      </c>
    </row>
    <row r="34" spans="1:6">
      <c r="A34" s="38" t="s">
        <v>47</v>
      </c>
      <c r="B34" s="6">
        <v>101</v>
      </c>
      <c r="C34" s="6">
        <v>140</v>
      </c>
      <c r="D34" s="14">
        <f>ROUNDDOWN(VLOOKUP(B34,テーブル!$A$3:$D$8,3,0)*(1-VLOOKUP(RIGHT(A34,1),テーブル!$F$3:$G$5,2,0)),0)</f>
        <v>2159</v>
      </c>
      <c r="E34" s="24">
        <f t="shared" si="0"/>
        <v>302260</v>
      </c>
    </row>
    <row r="35" spans="1:6">
      <c r="A35" s="38" t="s">
        <v>47</v>
      </c>
      <c r="B35" s="6">
        <v>102</v>
      </c>
      <c r="C35" s="6">
        <v>96</v>
      </c>
      <c r="D35" s="14">
        <f>ROUNDDOWN(VLOOKUP(B35,テーブル!$A$3:$D$8,3,0)*(1-VLOOKUP(RIGHT(A35,1),テーブル!$F$3:$G$5,2,0)),0)</f>
        <v>2013</v>
      </c>
      <c r="E35" s="24">
        <f t="shared" si="0"/>
        <v>193248</v>
      </c>
    </row>
    <row r="36" spans="1:6">
      <c r="A36" s="38" t="s">
        <v>47</v>
      </c>
      <c r="B36" s="6">
        <v>105</v>
      </c>
      <c r="C36" s="6">
        <v>93</v>
      </c>
      <c r="D36" s="14">
        <f>ROUNDDOWN(VLOOKUP(B36,テーブル!$A$3:$D$8,3,0)*(1-VLOOKUP(RIGHT(A36,1),テーブル!$F$3:$G$5,2,0)),0)</f>
        <v>2605</v>
      </c>
      <c r="E36" s="24">
        <f t="shared" si="0"/>
        <v>242265</v>
      </c>
    </row>
    <row r="37" spans="1:6">
      <c r="A37" s="38" t="s">
        <v>47</v>
      </c>
      <c r="B37" s="6">
        <v>103</v>
      </c>
      <c r="C37" s="6">
        <v>128</v>
      </c>
      <c r="D37" s="14">
        <f>ROUNDDOWN(VLOOKUP(B37,テーブル!$A$3:$D$8,3,0)*(1-VLOOKUP(RIGHT(A37,1),テーブル!$F$3:$G$5,2,0)),0)</f>
        <v>2787</v>
      </c>
      <c r="E37" s="24">
        <f t="shared" si="0"/>
        <v>356736</v>
      </c>
    </row>
    <row r="38" spans="1:6">
      <c r="A38" s="17"/>
      <c r="B38" s="6"/>
      <c r="C38" s="6"/>
      <c r="D38" s="6"/>
      <c r="E38" s="30"/>
    </row>
    <row r="39" spans="1:6" ht="14.25" thickBot="1">
      <c r="A39" s="43" t="s">
        <v>48</v>
      </c>
      <c r="B39" s="26"/>
      <c r="C39" s="27">
        <f>SUM(C2:C37)</f>
        <v>4330</v>
      </c>
      <c r="D39" s="26"/>
      <c r="E39" s="44">
        <f t="shared" ref="E39" si="1">SUM(E2:E37)</f>
        <v>10736756</v>
      </c>
      <c r="F39" s="1" t="s">
        <v>50</v>
      </c>
    </row>
    <row r="42" spans="1:6">
      <c r="E42" s="28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C0D00-9E3A-47DE-90FB-F8C610B267A7}">
  <sheetPr>
    <pageSetUpPr fitToPage="1"/>
  </sheetPr>
  <dimension ref="A1:S32"/>
  <sheetViews>
    <sheetView zoomScaleNormal="100" workbookViewId="0">
      <selection sqref="A1:G1"/>
    </sheetView>
  </sheetViews>
  <sheetFormatPr defaultRowHeight="13.5"/>
  <cols>
    <col min="1" max="1" width="7.5" style="1" customWidth="1"/>
    <col min="2" max="4" width="7.5" style="1" bestFit="1" customWidth="1"/>
    <col min="5" max="5" width="11.625" style="1" bestFit="1" customWidth="1"/>
    <col min="6" max="6" width="10.5" style="1" bestFit="1" customWidth="1"/>
    <col min="7" max="7" width="5.5" style="1" bestFit="1" customWidth="1"/>
    <col min="8" max="8" width="10.75" style="1" customWidth="1"/>
    <col min="9" max="9" width="7.5" style="1" bestFit="1" customWidth="1"/>
    <col min="10" max="10" width="9.5" style="1" bestFit="1" customWidth="1"/>
    <col min="11" max="11" width="7.5" style="1" bestFit="1" customWidth="1"/>
    <col min="12" max="12" width="11.625" style="1" bestFit="1" customWidth="1"/>
    <col min="13" max="13" width="8.5" style="1" bestFit="1" customWidth="1"/>
    <col min="14" max="14" width="11.625" style="1" bestFit="1" customWidth="1"/>
    <col min="15" max="15" width="8.5" style="1" bestFit="1" customWidth="1"/>
    <col min="16" max="16" width="7.5" style="1" bestFit="1" customWidth="1"/>
    <col min="17" max="16384" width="9" style="1"/>
  </cols>
  <sheetData>
    <row r="1" spans="1:17" ht="14.25" thickBot="1">
      <c r="A1" s="45" t="s">
        <v>33</v>
      </c>
      <c r="B1" s="45"/>
      <c r="C1" s="45"/>
      <c r="D1" s="45"/>
      <c r="E1" s="45"/>
      <c r="F1" s="45"/>
      <c r="G1" s="45"/>
      <c r="I1" s="45" t="s">
        <v>34</v>
      </c>
      <c r="J1" s="45"/>
      <c r="K1" s="45"/>
      <c r="L1" s="45"/>
      <c r="M1" s="45"/>
      <c r="N1" s="45"/>
      <c r="O1" s="45"/>
      <c r="P1" s="45"/>
    </row>
    <row r="2" spans="1:17">
      <c r="A2" s="10" t="s">
        <v>4</v>
      </c>
      <c r="B2" s="11" t="s">
        <v>35</v>
      </c>
      <c r="C2" s="11" t="s">
        <v>26</v>
      </c>
      <c r="D2" s="11" t="s">
        <v>30</v>
      </c>
      <c r="E2" s="11" t="s">
        <v>36</v>
      </c>
      <c r="F2" s="11" t="s">
        <v>37</v>
      </c>
      <c r="G2" s="23" t="s">
        <v>49</v>
      </c>
      <c r="I2" s="46" t="s">
        <v>10</v>
      </c>
      <c r="J2" s="12" t="s">
        <v>11</v>
      </c>
      <c r="K2" s="12" t="s">
        <v>30</v>
      </c>
      <c r="L2" s="12" t="s">
        <v>38</v>
      </c>
      <c r="M2" s="12" t="s">
        <v>39</v>
      </c>
      <c r="N2" s="12" t="s">
        <v>40</v>
      </c>
      <c r="O2" s="12" t="s">
        <v>41</v>
      </c>
      <c r="P2" s="13" t="s">
        <v>42</v>
      </c>
    </row>
    <row r="3" spans="1:17">
      <c r="A3" s="17">
        <v>101</v>
      </c>
      <c r="B3" s="6" t="str">
        <f>"商品"&amp;VLOOKUP(A3,テーブル!$A$3:$D$8,2,0)</f>
        <v>商品Ａ</v>
      </c>
      <c r="C3" s="2">
        <f>SUMIF(仕入データ表!$A$2:$A$37,A3,仕入データ表!$B$2:$B$37)</f>
        <v>693</v>
      </c>
      <c r="D3" s="18">
        <f>SUMIF(販売データ表!$B$2:$B$37,A3,販売データ表!$C$2:$C$37)</f>
        <v>725</v>
      </c>
      <c r="E3" s="18">
        <f>VLOOKUP(A3,テーブル!$A$3:$D$8,4,0)+C3-D3</f>
        <v>21</v>
      </c>
      <c r="F3" s="18">
        <f>SUMIF(販売データ表!$B$2:$B$37,$A3,販売データ表!$E$2:$E$37)-SUMIF(仕入データ表!$A$2:$A$37,$A3,仕入データ表!$E$2:$E$37)</f>
        <v>292566</v>
      </c>
      <c r="G3" s="42" t="str">
        <f>IF(AND(D3&gt;=700,F3&gt;=AVERAGE($F$3:$F$8)),"＊","")</f>
        <v/>
      </c>
      <c r="I3" s="38" t="s">
        <v>44</v>
      </c>
      <c r="J3" s="7" t="str">
        <f>VLOOKUP(I3,テーブル!$I$3:$K$6,2,0)</f>
        <v>明光電気</v>
      </c>
      <c r="K3" s="15">
        <f>DSUM(販売データ表!$A$1:$E$37,K$2,$I$10:$I$11)</f>
        <v>1034</v>
      </c>
      <c r="L3" s="15">
        <f>DSUM(販売データ表!$A$1:$E$37,L$2,$I$10:$I$11)</f>
        <v>2476362</v>
      </c>
      <c r="M3" s="15">
        <f>ROUNDDOWN(IF(AND(K3&lt;1100,L3&lt;3000000),L3*1.3%,L3*1.8%),-1)</f>
        <v>32190</v>
      </c>
      <c r="N3" s="8">
        <f>L3+M3</f>
        <v>2508552</v>
      </c>
      <c r="O3" s="15">
        <f>ROUND(150000*N3/$N$8,-1)</f>
        <v>34510</v>
      </c>
      <c r="P3" s="29">
        <f>ROUNDUP(L3/VLOOKUP(I3,テーブル!$I$3:$K$6,3,0),3)</f>
        <v>0.98599999999999999</v>
      </c>
    </row>
    <row r="4" spans="1:17">
      <c r="A4" s="17">
        <v>102</v>
      </c>
      <c r="B4" s="6" t="str">
        <f>"商品"&amp;VLOOKUP(A4,テーブル!$A$3:$D$8,2,0)</f>
        <v>商品Ｂ</v>
      </c>
      <c r="C4" s="2">
        <f>SUMIF(仕入データ表!$A$2:$A$37,A4,仕入データ表!$B$2:$B$37)</f>
        <v>674</v>
      </c>
      <c r="D4" s="18">
        <f>SUMIF(販売データ表!$B$2:$B$37,A4,販売データ表!$C$2:$C$37)</f>
        <v>707</v>
      </c>
      <c r="E4" s="18">
        <f>VLOOKUP(A4,テーブル!$A$3:$D$8,4,0)+C4-D4</f>
        <v>27</v>
      </c>
      <c r="F4" s="18">
        <f>SUMIF(販売データ表!$B$2:$B$37,$A4,販売データ表!$E$2:$E$37)-SUMIF(仕入データ表!$A$2:$A$37,$A4,仕入データ表!$E$2:$E$37)</f>
        <v>212474</v>
      </c>
      <c r="G4" s="42" t="str">
        <f t="shared" ref="G4:G8" si="0">IF(AND(D4&gt;=700,F4&gt;=AVERAGE($F$3:$F$8)),"＊","")</f>
        <v/>
      </c>
      <c r="I4" s="38" t="s">
        <v>46</v>
      </c>
      <c r="J4" s="7" t="str">
        <f>VLOOKUP(I4,テーブル!$I$3:$K$6,2,0)</f>
        <v>ＪＰＮＫ</v>
      </c>
      <c r="K4" s="15">
        <f>DSUM(販売データ表!$A$1:$E$37,K$2,$K$10:$K$11)</f>
        <v>1024</v>
      </c>
      <c r="L4" s="15">
        <f>DSUM(販売データ表!$A$1:$E$37,L$2,$K$10:$K$11)</f>
        <v>2545127</v>
      </c>
      <c r="M4" s="15">
        <f>ROUNDDOWN(IF(AND(K4&lt;1100,L4&lt;3000000),L4*1.3%,L4*1.8%),-1)</f>
        <v>33080</v>
      </c>
      <c r="N4" s="8">
        <f>L4+M4</f>
        <v>2578207</v>
      </c>
      <c r="O4" s="15">
        <f>ROUND(150000*N4/$N$8,-1)</f>
        <v>35460</v>
      </c>
      <c r="P4" s="29">
        <f>ROUNDUP(L4/VLOOKUP(I4,テーブル!$I$3:$K$6,3,0),3)</f>
        <v>1.0169999999999999</v>
      </c>
    </row>
    <row r="5" spans="1:17">
      <c r="A5" s="17">
        <v>103</v>
      </c>
      <c r="B5" s="6" t="str">
        <f>"商品"&amp;VLOOKUP(A5,テーブル!$A$3:$D$8,2,0)</f>
        <v>商品Ｃ</v>
      </c>
      <c r="C5" s="2">
        <f>SUMIF(仕入データ表!$A$2:$A$37,A5,仕入データ表!$B$2:$B$37)</f>
        <v>709</v>
      </c>
      <c r="D5" s="18">
        <f>SUMIF(販売データ表!$B$2:$B$37,A5,販売データ表!$C$2:$C$37)</f>
        <v>715</v>
      </c>
      <c r="E5" s="18">
        <f>VLOOKUP(A5,テーブル!$A$3:$D$8,4,0)+C5-D5</f>
        <v>31</v>
      </c>
      <c r="F5" s="18">
        <f>SUMIF(販売データ表!$B$2:$B$37,$A5,販売データ表!$E$2:$E$37)-SUMIF(仕入データ表!$A$2:$A$37,$A5,仕入データ表!$E$2:$E$37)</f>
        <v>463792</v>
      </c>
      <c r="G5" s="42" t="str">
        <f t="shared" si="0"/>
        <v>＊</v>
      </c>
      <c r="I5" s="38" t="s">
        <v>47</v>
      </c>
      <c r="J5" s="7" t="str">
        <f>VLOOKUP(I5,テーブル!$I$3:$K$6,2,0)</f>
        <v>星カメラ</v>
      </c>
      <c r="K5" s="15">
        <f>DSUM(販売データ表!$A$1:$E$37,K$2,$L$10:$L$11)</f>
        <v>1100</v>
      </c>
      <c r="L5" s="15">
        <f>DSUM(販売データ表!$A$1:$E$37,L$2,$L$10:$L$11)</f>
        <v>2711220</v>
      </c>
      <c r="M5" s="15">
        <f>ROUNDDOWN(IF(AND(K5&lt;1100,L5&lt;3000000),L5*1.3%,L5*1.8%),-1)</f>
        <v>48800</v>
      </c>
      <c r="N5" s="8">
        <f>L5+M5</f>
        <v>2760020</v>
      </c>
      <c r="O5" s="15">
        <f>ROUND(150000*N5/$N$8,-1)</f>
        <v>37960</v>
      </c>
      <c r="P5" s="29">
        <f>ROUNDUP(L5/VLOOKUP(I5,テーブル!$I$3:$K$6,3,0),3)</f>
        <v>0.97099999999999997</v>
      </c>
    </row>
    <row r="6" spans="1:17">
      <c r="A6" s="17">
        <v>104</v>
      </c>
      <c r="B6" s="6" t="str">
        <f>"商品"&amp;VLOOKUP(A6,テーブル!$A$3:$D$8,2,0)</f>
        <v>商品Ｄ</v>
      </c>
      <c r="C6" s="2">
        <f>SUMIF(仕入データ表!$A$2:$A$37,A6,仕入データ表!$B$2:$B$37)</f>
        <v>762</v>
      </c>
      <c r="D6" s="18">
        <f>SUMIF(販売データ表!$B$2:$B$37,A6,販売データ表!$C$2:$C$37)</f>
        <v>771</v>
      </c>
      <c r="E6" s="18">
        <f>VLOOKUP(A6,テーブル!$A$3:$D$8,4,0)+C6-D6</f>
        <v>57</v>
      </c>
      <c r="F6" s="18">
        <f>SUMIF(販売データ表!$B$2:$B$37,$A6,販売データ表!$E$2:$E$37)-SUMIF(仕入データ表!$A$2:$A$37,$A6,仕入データ表!$E$2:$E$37)</f>
        <v>205674</v>
      </c>
      <c r="G6" s="42" t="str">
        <f t="shared" si="0"/>
        <v/>
      </c>
      <c r="I6" s="38" t="s">
        <v>45</v>
      </c>
      <c r="J6" s="7" t="str">
        <f>VLOOKUP(I6,テーブル!$I$3:$K$6,2,0)</f>
        <v>ひかり堂</v>
      </c>
      <c r="K6" s="15">
        <f>DSUM(販売データ表!$A$1:$E$37,K$2,$J$10:$J$11)</f>
        <v>1172</v>
      </c>
      <c r="L6" s="15">
        <f>DSUM(販売データ表!$A$1:$E$37,L$2,$J$10:$J$11)</f>
        <v>3004047</v>
      </c>
      <c r="M6" s="15">
        <f>ROUNDDOWN(IF(AND(K6&lt;1100,L6&lt;3000000),L6*1.3%,L6*1.8%),-1)</f>
        <v>54070</v>
      </c>
      <c r="N6" s="8">
        <f>L6+M6</f>
        <v>3058117</v>
      </c>
      <c r="O6" s="15">
        <f>ROUND(150000*N6/$N$8,-1)</f>
        <v>42070</v>
      </c>
      <c r="P6" s="29">
        <f>ROUNDUP(L6/VLOOKUP(I6,テーブル!$I$3:$K$6,3,0),3)</f>
        <v>1.2789999999999999</v>
      </c>
    </row>
    <row r="7" spans="1:17">
      <c r="A7" s="17">
        <v>105</v>
      </c>
      <c r="B7" s="6" t="str">
        <f>"商品"&amp;VLOOKUP(A7,テーブル!$A$3:$D$8,2,0)</f>
        <v>商品Ｅ</v>
      </c>
      <c r="C7" s="2">
        <f>SUMIF(仕入データ表!$A$2:$A$37,A7,仕入データ表!$B$2:$B$37)</f>
        <v>746</v>
      </c>
      <c r="D7" s="18">
        <f>SUMIF(販売データ表!$B$2:$B$37,A7,販売データ表!$C$2:$C$37)</f>
        <v>748</v>
      </c>
      <c r="E7" s="18">
        <f>VLOOKUP(A7,テーブル!$A$3:$D$8,4,0)+C7-D7</f>
        <v>54</v>
      </c>
      <c r="F7" s="18">
        <f>SUMIF(販売データ表!$B$2:$B$37,$A7,販売データ表!$E$2:$E$37)-SUMIF(仕入データ表!$A$2:$A$37,$A7,仕入データ表!$E$2:$E$37)</f>
        <v>566894</v>
      </c>
      <c r="G7" s="42" t="str">
        <f t="shared" si="0"/>
        <v>＊</v>
      </c>
      <c r="I7" s="17"/>
      <c r="J7" s="7"/>
      <c r="K7" s="15"/>
      <c r="L7" s="7"/>
      <c r="M7" s="7"/>
      <c r="N7" s="7"/>
      <c r="O7" s="15"/>
      <c r="P7" s="30"/>
    </row>
    <row r="8" spans="1:17" ht="14.25" thickBot="1">
      <c r="A8" s="17">
        <v>106</v>
      </c>
      <c r="B8" s="6" t="str">
        <f>"商品"&amp;VLOOKUP(A8,テーブル!$A$3:$D$8,2,0)</f>
        <v>商品Ｆ</v>
      </c>
      <c r="C8" s="2">
        <f>SUMIF(仕入データ表!$A$2:$A$37,A8,仕入データ表!$B$2:$B$37)</f>
        <v>659</v>
      </c>
      <c r="D8" s="18">
        <f>SUMIF(販売データ表!$B$2:$B$37,A8,販売データ表!$C$2:$C$37)</f>
        <v>664</v>
      </c>
      <c r="E8" s="18">
        <f>VLOOKUP(A8,テーブル!$A$3:$D$8,4,0)+C8-D8</f>
        <v>37</v>
      </c>
      <c r="F8" s="18">
        <f>SUMIF(販売データ表!$B$2:$B$37,$A8,販売データ表!$E$2:$E$37)-SUMIF(仕入データ表!$A$2:$A$37,$A8,仕入データ表!$E$2:$E$37)</f>
        <v>430418</v>
      </c>
      <c r="G8" s="42" t="str">
        <f t="shared" si="0"/>
        <v/>
      </c>
      <c r="I8" s="25"/>
      <c r="J8" s="31" t="s">
        <v>43</v>
      </c>
      <c r="K8" s="32">
        <f>SUM(K3:K6)</f>
        <v>4330</v>
      </c>
      <c r="L8" s="32">
        <f t="shared" ref="L8" si="1">SUM(L3:L6)</f>
        <v>10736756</v>
      </c>
      <c r="M8" s="32">
        <f>SUM(M3:M6)</f>
        <v>168140</v>
      </c>
      <c r="N8" s="32">
        <f>SUM(N3:N6)</f>
        <v>10904896</v>
      </c>
      <c r="O8" s="33">
        <f>SUM(O3:O6)</f>
        <v>150000</v>
      </c>
      <c r="P8" s="34"/>
      <c r="Q8" s="1" t="s">
        <v>50</v>
      </c>
    </row>
    <row r="9" spans="1:17" ht="14.25" thickBot="1">
      <c r="A9" s="17"/>
      <c r="B9" s="6"/>
      <c r="C9" s="2"/>
      <c r="D9" s="2"/>
      <c r="E9" s="2"/>
      <c r="F9" s="2"/>
      <c r="G9" s="16"/>
    </row>
    <row r="10" spans="1:17" ht="14.25" thickBot="1">
      <c r="A10" s="25"/>
      <c r="B10" s="26" t="s">
        <v>43</v>
      </c>
      <c r="C10" s="36">
        <f>SUM(C3:C8)</f>
        <v>4243</v>
      </c>
      <c r="D10" s="36">
        <f>SUM(D3:D8)</f>
        <v>4330</v>
      </c>
      <c r="E10" s="36">
        <f>SUM(E3:E8)</f>
        <v>227</v>
      </c>
      <c r="F10" s="36">
        <f>SUM(F3:F8)</f>
        <v>2171818</v>
      </c>
      <c r="G10" s="34"/>
      <c r="H10" s="1" t="s">
        <v>50</v>
      </c>
      <c r="I10" s="35" t="s">
        <v>10</v>
      </c>
      <c r="J10" s="39" t="s">
        <v>10</v>
      </c>
      <c r="K10" s="39" t="s">
        <v>10</v>
      </c>
      <c r="L10" s="39" t="s">
        <v>10</v>
      </c>
    </row>
    <row r="11" spans="1:17" ht="14.25" thickBot="1">
      <c r="I11" s="41" t="s">
        <v>44</v>
      </c>
      <c r="J11" s="40" t="s">
        <v>45</v>
      </c>
      <c r="K11" s="40" t="s">
        <v>46</v>
      </c>
      <c r="L11" s="40" t="s">
        <v>47</v>
      </c>
    </row>
    <row r="12" spans="1:17">
      <c r="A12" s="37"/>
      <c r="B12" s="37"/>
      <c r="C12" s="37"/>
      <c r="D12" s="37"/>
      <c r="E12" s="37"/>
      <c r="G12" s="37"/>
    </row>
    <row r="32" spans="19:19">
      <c r="S32" s="1" t="s">
        <v>51</v>
      </c>
    </row>
  </sheetData>
  <sortState xmlns:xlrd2="http://schemas.microsoft.com/office/spreadsheetml/2017/richdata2" ref="I3:P6">
    <sortCondition ref="N4:N6"/>
  </sortState>
  <mergeCells count="2">
    <mergeCell ref="A1:G1"/>
    <mergeCell ref="I1:P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販売データ表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2022-07-24T09:50:19Z</cp:lastPrinted>
  <dcterms:created xsi:type="dcterms:W3CDTF">2008-12-24T06:30:48Z</dcterms:created>
  <dcterms:modified xsi:type="dcterms:W3CDTF">2023-10-24T06:28:59Z</dcterms:modified>
</cp:coreProperties>
</file>