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r01\問題制作フォルダー\01_検定問題\1表計算\2023(令和05)年度\03_12月検定\"/>
    </mc:Choice>
  </mc:AlternateContent>
  <xr:revisionPtr revIDLastSave="0" documentId="13_ncr:1_{CE4EA4DB-32E3-4C29-8598-308FE1605317}" xr6:coauthVersionLast="47" xr6:coauthVersionMax="47" xr10:uidLastSave="{00000000-0000-0000-0000-000000000000}"/>
  <bookViews>
    <workbookView xWindow="-120" yWindow="-120" windowWidth="29040" windowHeight="15840" tabRatio="439" xr2:uid="{00000000-000D-0000-FFFF-FFFF00000000}"/>
  </bookViews>
  <sheets>
    <sheet name="テーブル" sheetId="7" r:id="rId1"/>
    <sheet name="データＡ表" sheetId="10" r:id="rId2"/>
    <sheet name="データＢ表" sheetId="11" r:id="rId3"/>
    <sheet name="計算表" sheetId="12" r:id="rId4"/>
  </sheets>
  <definedNames>
    <definedName name="_xlnm._FilterDatabase" localSheetId="1" hidden="1">データＡ表!$B$1:$D$15</definedName>
    <definedName name="_xlnm._FilterDatabase" localSheetId="2" hidden="1">データＢ表!#REF!</definedName>
    <definedName name="_xlnm._FilterDatabase" localSheetId="0" hidden="1">テーブル!#REF!</definedName>
    <definedName name="_xlnm._FilterDatabase" localSheetId="3" hidden="1">計算表!#REF!</definedName>
  </definedNames>
  <calcPr calcId="181029"/>
</workbook>
</file>

<file path=xl/calcChain.xml><?xml version="1.0" encoding="utf-8"?>
<calcChain xmlns="http://schemas.openxmlformats.org/spreadsheetml/2006/main">
  <c r="M2" i="12" l="1"/>
  <c r="E3" i="10"/>
  <c r="E4" i="10"/>
  <c r="E5" i="10"/>
  <c r="E7" i="10"/>
  <c r="E9" i="10"/>
  <c r="E10" i="10"/>
  <c r="E11" i="10"/>
  <c r="E12" i="10"/>
  <c r="E13" i="10"/>
  <c r="E14" i="10"/>
  <c r="E15" i="10"/>
  <c r="E16" i="10"/>
  <c r="E17" i="10"/>
  <c r="E18" i="10"/>
  <c r="E19" i="10"/>
  <c r="E20" i="10"/>
  <c r="E21" i="10"/>
  <c r="E22" i="10"/>
  <c r="E23" i="10"/>
  <c r="E24" i="10"/>
  <c r="E25" i="10"/>
  <c r="E26" i="10"/>
  <c r="E28" i="10"/>
  <c r="E29" i="10"/>
  <c r="E2" i="10"/>
  <c r="D4" i="12"/>
  <c r="D5" i="12"/>
  <c r="D6" i="12"/>
  <c r="D9" i="12"/>
  <c r="D3" i="12"/>
  <c r="F2" i="11" l="1"/>
  <c r="E7" i="12"/>
  <c r="F7" i="12"/>
  <c r="G7" i="12" s="1"/>
  <c r="F3" i="12"/>
  <c r="G3" i="12" s="1"/>
  <c r="I3" i="12" s="1"/>
  <c r="F8" i="12"/>
  <c r="F4" i="12"/>
  <c r="G4" i="12" s="1"/>
  <c r="I4" i="12" s="1"/>
  <c r="F5" i="12"/>
  <c r="G5" i="12" s="1"/>
  <c r="F9" i="12"/>
  <c r="G9" i="12" s="1"/>
  <c r="F6" i="12"/>
  <c r="E8" i="12"/>
  <c r="E4" i="12"/>
  <c r="E5" i="12"/>
  <c r="E9" i="12"/>
  <c r="E6" i="12"/>
  <c r="E3" i="12"/>
  <c r="B8" i="12"/>
  <c r="B4" i="12"/>
  <c r="B5" i="12"/>
  <c r="B9" i="12"/>
  <c r="B6" i="12"/>
  <c r="B7" i="12"/>
  <c r="B3" i="12"/>
  <c r="D31" i="11"/>
  <c r="E31" i="11"/>
  <c r="F29" i="11"/>
  <c r="G29" i="11" s="1"/>
  <c r="F28" i="11"/>
  <c r="G28" i="11" s="1"/>
  <c r="F27" i="11"/>
  <c r="G27" i="11" s="1"/>
  <c r="C31" i="11"/>
  <c r="F26" i="11"/>
  <c r="G26" i="11" s="1"/>
  <c r="D29" i="10"/>
  <c r="F29" i="10" s="1"/>
  <c r="D28" i="10"/>
  <c r="F28" i="10" s="1"/>
  <c r="D27" i="10"/>
  <c r="D26" i="10"/>
  <c r="F26" i="10" s="1"/>
  <c r="F3" i="11"/>
  <c r="F4" i="11"/>
  <c r="G4" i="11" s="1"/>
  <c r="F5" i="11"/>
  <c r="F6" i="11"/>
  <c r="F7" i="11"/>
  <c r="F8" i="11"/>
  <c r="F9" i="11"/>
  <c r="G9" i="11" s="1"/>
  <c r="F10" i="11"/>
  <c r="G10" i="11" s="1"/>
  <c r="F11" i="11"/>
  <c r="F12" i="11"/>
  <c r="F13" i="11"/>
  <c r="G13" i="11" s="1"/>
  <c r="F14" i="11"/>
  <c r="F15" i="11"/>
  <c r="F16" i="11"/>
  <c r="F17" i="11"/>
  <c r="F18" i="11"/>
  <c r="F19" i="11"/>
  <c r="F20" i="11"/>
  <c r="F21" i="11"/>
  <c r="F22" i="11"/>
  <c r="G22" i="11" s="1"/>
  <c r="F23" i="11"/>
  <c r="G23" i="11" s="1"/>
  <c r="F24" i="11"/>
  <c r="G24" i="11" s="1"/>
  <c r="F25" i="11"/>
  <c r="G25" i="11" s="1"/>
  <c r="I9" i="12" l="1"/>
  <c r="I5" i="12"/>
  <c r="F27" i="10"/>
  <c r="D7" i="12" s="1"/>
  <c r="I7" i="12" s="1"/>
  <c r="E27" i="10"/>
  <c r="G8" i="12"/>
  <c r="G6" i="12"/>
  <c r="I6" i="12" s="1"/>
  <c r="F11" i="12"/>
  <c r="E11" i="12"/>
  <c r="H6" i="12"/>
  <c r="H7" i="12"/>
  <c r="G16" i="11"/>
  <c r="G12" i="11"/>
  <c r="G7" i="11"/>
  <c r="G3" i="11"/>
  <c r="G21" i="11"/>
  <c r="G19" i="11"/>
  <c r="G14" i="11"/>
  <c r="G11" i="11"/>
  <c r="G20" i="11"/>
  <c r="G2" i="11"/>
  <c r="G5" i="11"/>
  <c r="G6" i="11"/>
  <c r="G18" i="11"/>
  <c r="G8" i="11"/>
  <c r="G15" i="11"/>
  <c r="G17" i="11"/>
  <c r="M3" i="12" l="1"/>
  <c r="H4" i="12"/>
  <c r="H3" i="12"/>
  <c r="H5" i="12"/>
  <c r="H8" i="12"/>
  <c r="G31" i="11"/>
  <c r="H9" i="12"/>
  <c r="D2" i="10"/>
  <c r="D3" i="10"/>
  <c r="D4" i="10"/>
  <c r="D5" i="10"/>
  <c r="D6" i="10"/>
  <c r="E6" i="10" s="1"/>
  <c r="D7" i="10"/>
  <c r="D8" i="10"/>
  <c r="E8" i="10" s="1"/>
  <c r="D9" i="10"/>
  <c r="D10" i="10"/>
  <c r="D11" i="10"/>
  <c r="D12" i="10"/>
  <c r="D13" i="10"/>
  <c r="D14" i="10"/>
  <c r="D15" i="10"/>
  <c r="D16" i="10"/>
  <c r="D17" i="10"/>
  <c r="D18" i="10"/>
  <c r="D19" i="10"/>
  <c r="D20" i="10"/>
  <c r="D21" i="10"/>
  <c r="D22" i="10"/>
  <c r="D23" i="10"/>
  <c r="D24" i="10"/>
  <c r="D25" i="10"/>
  <c r="H11" i="12" l="1"/>
  <c r="F14" i="10"/>
  <c r="F8" i="10"/>
  <c r="F2" i="10"/>
  <c r="F25" i="10"/>
  <c r="F7" i="10"/>
  <c r="F12" i="10"/>
  <c r="F6" i="10"/>
  <c r="F11" i="10"/>
  <c r="F5" i="10"/>
  <c r="F22" i="10"/>
  <c r="F10" i="10"/>
  <c r="F4" i="10"/>
  <c r="F21" i="10"/>
  <c r="F15" i="10"/>
  <c r="F3" i="10"/>
  <c r="F24" i="10"/>
  <c r="F19" i="10"/>
  <c r="F18" i="10"/>
  <c r="F16" i="10"/>
  <c r="F13" i="10"/>
  <c r="F23" i="10"/>
  <c r="F20" i="10"/>
  <c r="F9" i="10"/>
  <c r="F17" i="10"/>
  <c r="D31" i="10"/>
  <c r="D8" i="12" l="1"/>
  <c r="I8" i="12" s="1"/>
  <c r="I11" i="12" s="1"/>
  <c r="C7" i="12"/>
  <c r="J7" i="12" s="1"/>
  <c r="C3" i="12"/>
  <c r="J3" i="12" s="1"/>
  <c r="C4" i="12"/>
  <c r="J4" i="12" s="1"/>
  <c r="C5" i="12"/>
  <c r="J5" i="12" s="1"/>
  <c r="C9" i="12"/>
  <c r="J9" i="12" s="1"/>
  <c r="C6" i="12"/>
  <c r="J6" i="12" s="1"/>
  <c r="C8" i="12"/>
  <c r="F31" i="10"/>
  <c r="J8" i="12" l="1"/>
  <c r="D11" i="12"/>
  <c r="C11" i="12"/>
  <c r="J11" i="12" l="1"/>
</calcChain>
</file>

<file path=xl/sharedStrings.xml><?xml version="1.0" encoding="utf-8"?>
<sst xmlns="http://schemas.openxmlformats.org/spreadsheetml/2006/main" count="132" uniqueCount="55">
  <si>
    <t>社員名</t>
    <rPh sb="0" eb="2">
      <t>シャイン</t>
    </rPh>
    <rPh sb="2" eb="3">
      <t>メイ</t>
    </rPh>
    <phoneticPr fontId="3"/>
  </si>
  <si>
    <t>出発日</t>
    <rPh sb="0" eb="2">
      <t>シュッパツ</t>
    </rPh>
    <rPh sb="2" eb="3">
      <t>ビ</t>
    </rPh>
    <phoneticPr fontId="3"/>
  </si>
  <si>
    <t>帰着日</t>
    <rPh sb="0" eb="2">
      <t>キチャク</t>
    </rPh>
    <rPh sb="2" eb="3">
      <t>ビ</t>
    </rPh>
    <phoneticPr fontId="3"/>
  </si>
  <si>
    <t>出張手当</t>
    <rPh sb="0" eb="4">
      <t>シュッチョウテアテ</t>
    </rPh>
    <phoneticPr fontId="3"/>
  </si>
  <si>
    <t>＜社員テーブル＞</t>
    <rPh sb="1" eb="3">
      <t>シャイン</t>
    </rPh>
    <phoneticPr fontId="3"/>
  </si>
  <si>
    <t>合　計</t>
    <rPh sb="0" eb="1">
      <t>ゴウ</t>
    </rPh>
    <rPh sb="2" eb="3">
      <t>ケイ</t>
    </rPh>
    <phoneticPr fontId="3"/>
  </si>
  <si>
    <t>ＣＯ</t>
    <phoneticPr fontId="3"/>
  </si>
  <si>
    <t>出張日数</t>
    <rPh sb="0" eb="2">
      <t>シュッチョウ</t>
    </rPh>
    <rPh sb="2" eb="4">
      <t>ニッスウ</t>
    </rPh>
    <phoneticPr fontId="3"/>
  </si>
  <si>
    <t>特別手当</t>
    <rPh sb="0" eb="2">
      <t>トクベツ</t>
    </rPh>
    <rPh sb="2" eb="4">
      <t>テアテ</t>
    </rPh>
    <phoneticPr fontId="3"/>
  </si>
  <si>
    <t>総支給額</t>
  </si>
  <si>
    <t>契約数</t>
    <rPh sb="0" eb="2">
      <t>ケイヤク</t>
    </rPh>
    <rPh sb="2" eb="3">
      <t>スウ</t>
    </rPh>
    <phoneticPr fontId="3"/>
  </si>
  <si>
    <t>契約額</t>
    <rPh sb="0" eb="2">
      <t>ケイヤク</t>
    </rPh>
    <rPh sb="2" eb="3">
      <t>ガク</t>
    </rPh>
    <phoneticPr fontId="3"/>
  </si>
  <si>
    <t>商談数</t>
    <rPh sb="0" eb="2">
      <t>ショウダン</t>
    </rPh>
    <rPh sb="2" eb="3">
      <t>スウ</t>
    </rPh>
    <phoneticPr fontId="3"/>
  </si>
  <si>
    <t>成約率</t>
    <rPh sb="0" eb="2">
      <t>セイヤク</t>
    </rPh>
    <rPh sb="2" eb="3">
      <t>リツ</t>
    </rPh>
    <phoneticPr fontId="3"/>
  </si>
  <si>
    <t>営業手当</t>
    <rPh sb="0" eb="2">
      <t>エイギョウ</t>
    </rPh>
    <rPh sb="2" eb="4">
      <t>テアテ</t>
    </rPh>
    <phoneticPr fontId="3"/>
  </si>
  <si>
    <t>等級</t>
    <rPh sb="0" eb="2">
      <t>トウキュウ</t>
    </rPh>
    <phoneticPr fontId="3"/>
  </si>
  <si>
    <t>　</t>
    <phoneticPr fontId="3"/>
  </si>
  <si>
    <t>月目標額(万)</t>
    <rPh sb="0" eb="1">
      <t>ガツ</t>
    </rPh>
    <rPh sb="1" eb="3">
      <t>モクヒョウ</t>
    </rPh>
    <rPh sb="3" eb="4">
      <t>ガク</t>
    </rPh>
    <rPh sb="5" eb="6">
      <t>マン</t>
    </rPh>
    <phoneticPr fontId="3"/>
  </si>
  <si>
    <t xml:space="preserve"> </t>
    <phoneticPr fontId="3"/>
  </si>
  <si>
    <t>成約率</t>
    <rPh sb="0" eb="3">
      <t>セイヤクリツ</t>
    </rPh>
    <phoneticPr fontId="3"/>
  </si>
  <si>
    <t>契約数</t>
    <rPh sb="0" eb="3">
      <t>ケイヤクスウ</t>
    </rPh>
    <phoneticPr fontId="3"/>
  </si>
  <si>
    <t>＜乗率表＞</t>
    <rPh sb="1" eb="3">
      <t>ジョウリツ</t>
    </rPh>
    <rPh sb="3" eb="4">
      <t>ヒョウ</t>
    </rPh>
    <phoneticPr fontId="3"/>
  </si>
  <si>
    <t>達成率</t>
    <rPh sb="0" eb="3">
      <t>タッセイリツ</t>
    </rPh>
    <phoneticPr fontId="3"/>
  </si>
  <si>
    <t>社　員　別　総　支　給　額　計　算　表</t>
    <rPh sb="0" eb="1">
      <t>シャ</t>
    </rPh>
    <rPh sb="2" eb="3">
      <t>イン</t>
    </rPh>
    <rPh sb="4" eb="5">
      <t>ベツ</t>
    </rPh>
    <rPh sb="6" eb="7">
      <t>ソウ</t>
    </rPh>
    <rPh sb="8" eb="9">
      <t>シ</t>
    </rPh>
    <rPh sb="10" eb="11">
      <t>キュウ</t>
    </rPh>
    <rPh sb="12" eb="13">
      <t>ガク</t>
    </rPh>
    <rPh sb="14" eb="15">
      <t>ケイ</t>
    </rPh>
    <rPh sb="16" eb="17">
      <t>ザン</t>
    </rPh>
    <rPh sb="18" eb="19">
      <t>オモテ</t>
    </rPh>
    <phoneticPr fontId="3"/>
  </si>
  <si>
    <t>出張単価</t>
    <rPh sb="0" eb="2">
      <t>シュッチョウ</t>
    </rPh>
    <rPh sb="2" eb="4">
      <t>タンカ</t>
    </rPh>
    <phoneticPr fontId="3"/>
  </si>
  <si>
    <t>宿泊日数</t>
    <rPh sb="0" eb="2">
      <t>シュクハク</t>
    </rPh>
    <rPh sb="2" eb="4">
      <t>ニッスウ</t>
    </rPh>
    <phoneticPr fontId="3"/>
  </si>
  <si>
    <t>合　計</t>
    <rPh sb="0" eb="1">
      <t>ゴウ</t>
    </rPh>
    <rPh sb="2" eb="3">
      <t>ケイ</t>
    </rPh>
    <phoneticPr fontId="3"/>
  </si>
  <si>
    <t>ＣＯ</t>
  </si>
  <si>
    <t>X</t>
    <phoneticPr fontId="3"/>
  </si>
  <si>
    <t>Y</t>
    <phoneticPr fontId="3"/>
  </si>
  <si>
    <t>Z</t>
    <phoneticPr fontId="3"/>
  </si>
  <si>
    <t>101Z</t>
  </si>
  <si>
    <t>102X</t>
  </si>
  <si>
    <t>103Y</t>
  </si>
  <si>
    <t>104X</t>
  </si>
  <si>
    <t>105Y</t>
  </si>
  <si>
    <t>106Z</t>
  </si>
  <si>
    <t>若林　進</t>
  </si>
  <si>
    <t>川村　美月</t>
  </si>
  <si>
    <t>沖本　瞬</t>
  </si>
  <si>
    <t>池田　治</t>
  </si>
  <si>
    <t>107Y</t>
    <phoneticPr fontId="3"/>
  </si>
  <si>
    <t>大月　花子</t>
    <rPh sb="0" eb="2">
      <t>オオツキ</t>
    </rPh>
    <rPh sb="3" eb="5">
      <t>ハナコ</t>
    </rPh>
    <phoneticPr fontId="3"/>
  </si>
  <si>
    <t>&gt;=20</t>
    <phoneticPr fontId="3"/>
  </si>
  <si>
    <t>小森　広</t>
  </si>
  <si>
    <t>&gt;=7000</t>
    <phoneticPr fontId="3"/>
  </si>
  <si>
    <t>商談数が20以上で営業手当が7,000円以上の件数</t>
    <rPh sb="0" eb="2">
      <t>ショウダン</t>
    </rPh>
    <rPh sb="2" eb="3">
      <t>スウ</t>
    </rPh>
    <rPh sb="6" eb="8">
      <t>イジョウ</t>
    </rPh>
    <rPh sb="9" eb="11">
      <t>エイギョウ</t>
    </rPh>
    <rPh sb="11" eb="13">
      <t>テアテ</t>
    </rPh>
    <rPh sb="19" eb="20">
      <t>エン</t>
    </rPh>
    <rPh sb="20" eb="22">
      <t>イジョウ</t>
    </rPh>
    <rPh sb="23" eb="25">
      <t>ケンスウ</t>
    </rPh>
    <phoneticPr fontId="3"/>
  </si>
  <si>
    <t>出張基本単価</t>
    <rPh sb="0" eb="2">
      <t>シュッチョウ</t>
    </rPh>
    <rPh sb="2" eb="4">
      <t>キホン</t>
    </rPh>
    <rPh sb="4" eb="6">
      <t>タンカ</t>
    </rPh>
    <phoneticPr fontId="3"/>
  </si>
  <si>
    <t>山形　あい</t>
    <phoneticPr fontId="3"/>
  </si>
  <si>
    <t>＜出張基本単価テーブル＞</t>
    <rPh sb="1" eb="3">
      <t>シュッチョウ</t>
    </rPh>
    <rPh sb="3" eb="5">
      <t>キホン</t>
    </rPh>
    <rPh sb="5" eb="7">
      <t>タンカ</t>
    </rPh>
    <phoneticPr fontId="3"/>
  </si>
  <si>
    <t>【100点】</t>
    <rPh sb="4" eb="5">
      <t>テン</t>
    </rPh>
    <phoneticPr fontId="6"/>
  </si>
  <si>
    <t>【20点】</t>
    <rPh sb="3" eb="4">
      <t>テン</t>
    </rPh>
    <phoneticPr fontId="6"/>
  </si>
  <si>
    <t>グラフ【20点】</t>
    <rPh sb="6" eb="7">
      <t>テン</t>
    </rPh>
    <phoneticPr fontId="6"/>
  </si>
  <si>
    <t>出張単価が2,400円未満の宿泊日数の合計</t>
    <rPh sb="0" eb="2">
      <t>シュッチョウ</t>
    </rPh>
    <rPh sb="2" eb="4">
      <t>タンカ</t>
    </rPh>
    <rPh sb="10" eb="11">
      <t>エン</t>
    </rPh>
    <rPh sb="11" eb="13">
      <t>ミマン</t>
    </rPh>
    <rPh sb="14" eb="16">
      <t>シュクハク</t>
    </rPh>
    <rPh sb="16" eb="18">
      <t>ニッスウ</t>
    </rPh>
    <rPh sb="19" eb="21">
      <t>ゴウケイ</t>
    </rPh>
    <phoneticPr fontId="3"/>
  </si>
  <si>
    <t>&lt;2400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</si>
</sst>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7">
    <font>
      <sz val="11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明朝"/>
      <family val="1"/>
      <charset val="128"/>
    </font>
    <font>
      <sz val="6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6"/>
      <name val="ＭＳ 明朝"/>
      <family val="2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6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4" fillId="0" borderId="0">
      <alignment vertical="center"/>
    </xf>
    <xf numFmtId="9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>
      <alignment vertical="center"/>
    </xf>
    <xf numFmtId="38" fontId="0" fillId="0" borderId="6" xfId="0" applyNumberFormat="1" applyBorder="1">
      <alignment vertical="center"/>
    </xf>
    <xf numFmtId="0" fontId="0" fillId="0" borderId="7" xfId="0" applyBorder="1">
      <alignment vertical="center"/>
    </xf>
    <xf numFmtId="0" fontId="0" fillId="0" borderId="8" xfId="0" applyBorder="1" applyAlignment="1">
      <alignment horizontal="center" vertical="center"/>
    </xf>
    <xf numFmtId="38" fontId="0" fillId="0" borderId="8" xfId="0" applyNumberFormat="1" applyBorder="1">
      <alignment vertical="center"/>
    </xf>
    <xf numFmtId="0" fontId="0" fillId="0" borderId="9" xfId="0" applyBorder="1" applyAlignment="1">
      <alignment horizontal="center" vertical="center"/>
    </xf>
    <xf numFmtId="38" fontId="0" fillId="0" borderId="0" xfId="0" applyNumberFormat="1">
      <alignment vertical="center"/>
    </xf>
    <xf numFmtId="0" fontId="1" fillId="0" borderId="0" xfId="0" applyFont="1">
      <alignment vertical="center"/>
    </xf>
    <xf numFmtId="3" fontId="1" fillId="0" borderId="10" xfId="0" applyNumberFormat="1" applyFont="1" applyBorder="1">
      <alignment vertical="center"/>
    </xf>
    <xf numFmtId="38" fontId="1" fillId="0" borderId="1" xfId="1" applyFont="1" applyBorder="1">
      <alignment vertical="center"/>
    </xf>
    <xf numFmtId="38" fontId="1" fillId="0" borderId="0" xfId="1" applyFont="1" applyBorder="1">
      <alignment vertical="center"/>
    </xf>
    <xf numFmtId="38" fontId="0" fillId="0" borderId="10" xfId="0" applyNumberFormat="1" applyBorder="1">
      <alignment vertical="center"/>
    </xf>
    <xf numFmtId="9" fontId="0" fillId="0" borderId="0" xfId="0" applyNumberFormat="1" applyAlignment="1">
      <alignment horizontal="center" vertical="center"/>
    </xf>
    <xf numFmtId="176" fontId="0" fillId="0" borderId="0" xfId="0" applyNumberFormat="1">
      <alignment vertical="center"/>
    </xf>
    <xf numFmtId="0" fontId="1" fillId="0" borderId="4" xfId="0" applyFont="1" applyBorder="1" applyAlignment="1">
      <alignment horizontal="center" vertical="center"/>
    </xf>
    <xf numFmtId="38" fontId="1" fillId="0" borderId="4" xfId="1" applyFont="1" applyBorder="1" applyAlignment="1">
      <alignment vertical="center"/>
    </xf>
    <xf numFmtId="0" fontId="0" fillId="0" borderId="8" xfId="0" applyBorder="1">
      <alignment vertical="center"/>
    </xf>
    <xf numFmtId="0" fontId="0" fillId="0" borderId="10" xfId="0" applyBorder="1">
      <alignment vertical="center"/>
    </xf>
    <xf numFmtId="38" fontId="0" fillId="0" borderId="1" xfId="1" applyFont="1" applyBorder="1" applyAlignment="1">
      <alignment vertical="center"/>
    </xf>
    <xf numFmtId="14" fontId="0" fillId="0" borderId="1" xfId="0" applyNumberFormat="1" applyBorder="1">
      <alignment vertical="center"/>
    </xf>
    <xf numFmtId="38" fontId="1" fillId="0" borderId="1" xfId="1" applyFont="1" applyFill="1" applyBorder="1">
      <alignment vertical="center"/>
    </xf>
    <xf numFmtId="38" fontId="1" fillId="0" borderId="6" xfId="1" applyFont="1" applyFill="1" applyBorder="1">
      <alignment vertical="center"/>
    </xf>
    <xf numFmtId="0" fontId="0" fillId="0" borderId="6" xfId="0" applyBorder="1">
      <alignment vertical="center"/>
    </xf>
    <xf numFmtId="3" fontId="0" fillId="0" borderId="8" xfId="0" applyNumberFormat="1" applyBorder="1">
      <alignment vertical="center"/>
    </xf>
    <xf numFmtId="3" fontId="0" fillId="0" borderId="10" xfId="0" applyNumberFormat="1" applyBorder="1">
      <alignment vertical="center"/>
    </xf>
    <xf numFmtId="38" fontId="0" fillId="0" borderId="6" xfId="1" applyFont="1" applyFill="1" applyBorder="1">
      <alignment vertical="center"/>
    </xf>
    <xf numFmtId="0" fontId="0" fillId="0" borderId="7" xfId="0" applyBorder="1" applyAlignment="1">
      <alignment horizontal="center" vertical="center"/>
    </xf>
    <xf numFmtId="38" fontId="0" fillId="0" borderId="8" xfId="1" applyFont="1" applyFill="1" applyBorder="1">
      <alignment vertical="center"/>
    </xf>
    <xf numFmtId="38" fontId="0" fillId="0" borderId="10" xfId="1" applyFont="1" applyFill="1" applyBorder="1">
      <alignment vertical="center"/>
    </xf>
    <xf numFmtId="9" fontId="0" fillId="0" borderId="1" xfId="0" applyNumberFormat="1" applyBorder="1">
      <alignment vertical="center"/>
    </xf>
    <xf numFmtId="176" fontId="0" fillId="0" borderId="1" xfId="0" applyNumberFormat="1" applyBorder="1">
      <alignment vertical="center"/>
    </xf>
    <xf numFmtId="0" fontId="0" fillId="0" borderId="2" xfId="0" applyBorder="1">
      <alignment vertical="center"/>
    </xf>
    <xf numFmtId="38" fontId="0" fillId="0" borderId="1" xfId="1" applyFont="1" applyFill="1" applyBorder="1">
      <alignment vertical="center"/>
    </xf>
    <xf numFmtId="56" fontId="0" fillId="0" borderId="15" xfId="0" applyNumberFormat="1" applyBorder="1">
      <alignment vertical="center"/>
    </xf>
    <xf numFmtId="38" fontId="0" fillId="0" borderId="1" xfId="1" applyFont="1" applyBorder="1">
      <alignment vertical="center"/>
    </xf>
    <xf numFmtId="9" fontId="0" fillId="0" borderId="1" xfId="2" applyFont="1" applyFill="1" applyBorder="1">
      <alignment vertical="center"/>
    </xf>
    <xf numFmtId="176" fontId="1" fillId="0" borderId="1" xfId="1" applyNumberFormat="1" applyFont="1" applyBorder="1">
      <alignment vertical="center"/>
    </xf>
    <xf numFmtId="3" fontId="0" fillId="0" borderId="1" xfId="0" applyNumberFormat="1" applyBorder="1">
      <alignment vertical="center"/>
    </xf>
    <xf numFmtId="0" fontId="4" fillId="0" borderId="0" xfId="3">
      <alignment vertical="center"/>
    </xf>
    <xf numFmtId="0" fontId="0" fillId="0" borderId="1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</cellXfs>
  <cellStyles count="6">
    <cellStyle name="パーセント" xfId="2" builtinId="5"/>
    <cellStyle name="パーセント 2" xfId="4" xr:uid="{111BBFFE-C15F-4229-9D6B-78A8537D96F6}"/>
    <cellStyle name="桁区切り" xfId="1" builtinId="6"/>
    <cellStyle name="桁区切り 2" xfId="5" xr:uid="{B5CFFF48-CA66-4F4C-9378-A6EC1D0BB782}"/>
    <cellStyle name="標準" xfId="0" builtinId="0"/>
    <cellStyle name="標準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r>
              <a:rPr lang="ja-JP" sz="1100"/>
              <a:t>社員別の集計グラフ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計算表!$F$2</c:f>
              <c:strCache>
                <c:ptCount val="1"/>
                <c:pt idx="0">
                  <c:v>契約額</c:v>
                </c:pt>
              </c:strCache>
            </c:strRef>
          </c:tx>
          <c:spPr>
            <a:solidFill>
              <a:srgbClr val="B3B3B3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計算表!$B$3:$B$9</c:f>
              <c:strCache>
                <c:ptCount val="7"/>
                <c:pt idx="0">
                  <c:v>若林　進</c:v>
                </c:pt>
                <c:pt idx="1">
                  <c:v>沖本　瞬</c:v>
                </c:pt>
                <c:pt idx="2">
                  <c:v>山形　あい</c:v>
                </c:pt>
                <c:pt idx="3">
                  <c:v>池田　治</c:v>
                </c:pt>
                <c:pt idx="4">
                  <c:v>大月　花子</c:v>
                </c:pt>
                <c:pt idx="5">
                  <c:v>川村　美月</c:v>
                </c:pt>
                <c:pt idx="6">
                  <c:v>小森　広</c:v>
                </c:pt>
              </c:strCache>
            </c:strRef>
          </c:cat>
          <c:val>
            <c:numRef>
              <c:f>計算表!$F$3:$F$9</c:f>
              <c:numCache>
                <c:formatCode>#,##0_);[Red]\(#,##0\)</c:formatCode>
                <c:ptCount val="7"/>
                <c:pt idx="0">
                  <c:v>3018000</c:v>
                </c:pt>
                <c:pt idx="1">
                  <c:v>3548000</c:v>
                </c:pt>
                <c:pt idx="2">
                  <c:v>3850000</c:v>
                </c:pt>
                <c:pt idx="3">
                  <c:v>4822000</c:v>
                </c:pt>
                <c:pt idx="4">
                  <c:v>5104000</c:v>
                </c:pt>
                <c:pt idx="5">
                  <c:v>5140000</c:v>
                </c:pt>
                <c:pt idx="6">
                  <c:v>5818000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995-4473-89AF-9CFC0F5120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94341504"/>
        <c:axId val="1135980704"/>
      </c:barChart>
      <c:lineChart>
        <c:grouping val="standard"/>
        <c:varyColors val="0"/>
        <c:ser>
          <c:idx val="1"/>
          <c:order val="1"/>
          <c:tx>
            <c:strRef>
              <c:f>計算表!$E$2</c:f>
              <c:strCache>
                <c:ptCount val="1"/>
                <c:pt idx="0">
                  <c:v>契約数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ysClr val="windowText" lastClr="000000"/>
              </a:solidFill>
              <a:ln w="9525">
                <a:solidFill>
                  <a:sysClr val="windowText" lastClr="000000"/>
                </a:solidFill>
              </a:ln>
              <a:effectLst/>
            </c:spPr>
          </c:marker>
          <c:cat>
            <c:strRef>
              <c:f>計算表!$B$3:$B$9</c:f>
              <c:strCache>
                <c:ptCount val="7"/>
                <c:pt idx="0">
                  <c:v>若林　進</c:v>
                </c:pt>
                <c:pt idx="1">
                  <c:v>沖本　瞬</c:v>
                </c:pt>
                <c:pt idx="2">
                  <c:v>山形　あい</c:v>
                </c:pt>
                <c:pt idx="3">
                  <c:v>池田　治</c:v>
                </c:pt>
                <c:pt idx="4">
                  <c:v>大月　花子</c:v>
                </c:pt>
                <c:pt idx="5">
                  <c:v>川村　美月</c:v>
                </c:pt>
                <c:pt idx="6">
                  <c:v>小森　広</c:v>
                </c:pt>
              </c:strCache>
            </c:strRef>
          </c:cat>
          <c:val>
            <c:numRef>
              <c:f>計算表!$E$3:$E$9</c:f>
              <c:numCache>
                <c:formatCode>#,##0_);[Red]\(#,##0\)</c:formatCode>
                <c:ptCount val="7"/>
                <c:pt idx="0">
                  <c:v>33</c:v>
                </c:pt>
                <c:pt idx="1">
                  <c:v>38</c:v>
                </c:pt>
                <c:pt idx="2">
                  <c:v>43</c:v>
                </c:pt>
                <c:pt idx="3">
                  <c:v>55</c:v>
                </c:pt>
                <c:pt idx="4">
                  <c:v>60</c:v>
                </c:pt>
                <c:pt idx="5">
                  <c:v>56</c:v>
                </c:pt>
                <c:pt idx="6">
                  <c:v>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95-4473-89AF-9CFC0F5120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4385352"/>
        <c:axId val="464387976"/>
      </c:lineChart>
      <c:catAx>
        <c:axId val="464385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endParaRPr lang="ja-JP"/>
          </a:p>
        </c:txPr>
        <c:crossAx val="464387976"/>
        <c:crosses val="autoZero"/>
        <c:auto val="1"/>
        <c:lblAlgn val="ctr"/>
        <c:lblOffset val="100"/>
        <c:noMultiLvlLbl val="0"/>
      </c:catAx>
      <c:valAx>
        <c:axId val="464387976"/>
        <c:scaling>
          <c:orientation val="minMax"/>
        </c:scaling>
        <c:delete val="0"/>
        <c:axPos val="l"/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endParaRPr lang="ja-JP"/>
          </a:p>
        </c:txPr>
        <c:crossAx val="464385352"/>
        <c:crosses val="autoZero"/>
        <c:crossBetween val="between"/>
      </c:valAx>
      <c:valAx>
        <c:axId val="1135980704"/>
        <c:scaling>
          <c:orientation val="minMax"/>
        </c:scaling>
        <c:delete val="0"/>
        <c:axPos val="r"/>
        <c:numFmt formatCode="#,##0_);[Red]\(#,##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endParaRPr lang="ja-JP"/>
          </a:p>
        </c:txPr>
        <c:crossAx val="794341504"/>
        <c:crosses val="max"/>
        <c:crossBetween val="between"/>
      </c:valAx>
      <c:catAx>
        <c:axId val="79434150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35980704"/>
        <c:crosses val="autoZero"/>
        <c:auto val="1"/>
        <c:lblAlgn val="ctr"/>
        <c:lblOffset val="100"/>
        <c:noMultiLvlLbl val="0"/>
      </c:catAx>
      <c:spPr>
        <a:solidFill>
          <a:schemeClr val="lt1"/>
        </a:solidFill>
        <a:ln>
          <a:solidFill>
            <a:schemeClr val="dk1"/>
          </a:solidFill>
        </a:ln>
        <a:effectLst/>
      </c:spPr>
    </c:plotArea>
    <c:legend>
      <c:legendPos val="r"/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bg1">
          <a:lumMod val="50000"/>
        </a:schemeClr>
      </a:solidFill>
      <a:round/>
    </a:ln>
    <a:effectLst/>
  </c:spPr>
  <c:txPr>
    <a:bodyPr/>
    <a:lstStyle/>
    <a:p>
      <a:pPr>
        <a:defRPr sz="1100">
          <a:solidFill>
            <a:schemeClr val="tx1"/>
          </a:solidFill>
          <a:latin typeface="ＭＳ 明朝" panose="02020609040205080304" pitchFamily="17" charset="-128"/>
          <a:ea typeface="ＭＳ 明朝" panose="02020609040205080304" pitchFamily="17" charset="-128"/>
        </a:defRPr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476250</xdr:colOff>
      <xdr:row>15</xdr:row>
      <xdr:rowOff>14287</xdr:rowOff>
    </xdr:from>
    <xdr:to>
      <xdr:col>14</xdr:col>
      <xdr:colOff>638175</xdr:colOff>
      <xdr:row>31</xdr:row>
      <xdr:rowOff>66675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BF16678B-AAAF-434E-BB97-EBA35897190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9"/>
  <sheetViews>
    <sheetView tabSelected="1" zoomScaleNormal="100" workbookViewId="0"/>
  </sheetViews>
  <sheetFormatPr defaultRowHeight="13.5"/>
  <cols>
    <col min="1" max="1" width="5.5" bestFit="1" customWidth="1"/>
    <col min="2" max="2" width="13.875" bestFit="1" customWidth="1"/>
    <col min="3" max="3" width="11.5" customWidth="1"/>
    <col min="4" max="4" width="7.5" bestFit="1" customWidth="1"/>
    <col min="5" max="7" width="5.5" bestFit="1" customWidth="1"/>
    <col min="8" max="8" width="5.5" customWidth="1"/>
    <col min="9" max="9" width="9" customWidth="1"/>
    <col min="10" max="10" width="5.5" bestFit="1" customWidth="1"/>
    <col min="11" max="11" width="11.625" bestFit="1" customWidth="1"/>
    <col min="12" max="12" width="13.875" bestFit="1" customWidth="1"/>
    <col min="13" max="13" width="5.5" bestFit="1" customWidth="1"/>
    <col min="14" max="15" width="6.5" bestFit="1" customWidth="1"/>
  </cols>
  <sheetData>
    <row r="1" spans="1:12">
      <c r="A1" t="s">
        <v>49</v>
      </c>
      <c r="D1" t="s">
        <v>21</v>
      </c>
      <c r="J1" t="s">
        <v>4</v>
      </c>
    </row>
    <row r="2" spans="1:12">
      <c r="A2" s="3" t="s">
        <v>15</v>
      </c>
      <c r="B2" s="3" t="s">
        <v>47</v>
      </c>
      <c r="D2" s="46" t="s">
        <v>19</v>
      </c>
      <c r="E2" s="47" t="s">
        <v>20</v>
      </c>
      <c r="F2" s="48"/>
      <c r="G2" s="48"/>
      <c r="H2" s="49"/>
      <c r="J2" s="3" t="s">
        <v>27</v>
      </c>
      <c r="K2" s="3" t="s">
        <v>0</v>
      </c>
      <c r="L2" s="3" t="s">
        <v>17</v>
      </c>
    </row>
    <row r="3" spans="1:12">
      <c r="A3" s="2" t="s">
        <v>28</v>
      </c>
      <c r="B3" s="41">
        <v>2500</v>
      </c>
      <c r="D3" s="46"/>
      <c r="E3" s="25">
        <v>0</v>
      </c>
      <c r="F3" s="25">
        <v>10</v>
      </c>
      <c r="G3" s="25">
        <v>15</v>
      </c>
      <c r="H3" s="25">
        <v>20</v>
      </c>
      <c r="J3" s="2" t="s">
        <v>31</v>
      </c>
      <c r="K3" s="2" t="s">
        <v>37</v>
      </c>
      <c r="L3" s="41">
        <v>310</v>
      </c>
    </row>
    <row r="4" spans="1:12">
      <c r="A4" s="2" t="s">
        <v>29</v>
      </c>
      <c r="B4" s="41">
        <v>2300</v>
      </c>
      <c r="D4" s="36">
        <v>0</v>
      </c>
      <c r="E4" s="37">
        <v>1E-3</v>
      </c>
      <c r="F4" s="37">
        <v>6.0000000000000001E-3</v>
      </c>
      <c r="G4" s="37">
        <v>1.0999999999999999E-2</v>
      </c>
      <c r="H4" s="37">
        <v>1.6E-2</v>
      </c>
      <c r="I4" s="13" t="s">
        <v>16</v>
      </c>
      <c r="J4" s="2" t="s">
        <v>32</v>
      </c>
      <c r="K4" s="2" t="s">
        <v>38</v>
      </c>
      <c r="L4" s="41">
        <v>498</v>
      </c>
    </row>
    <row r="5" spans="1:12">
      <c r="A5" s="2" t="s">
        <v>30</v>
      </c>
      <c r="B5" s="41">
        <v>2100</v>
      </c>
      <c r="D5" s="36">
        <v>0.4</v>
      </c>
      <c r="E5" s="37">
        <v>2E-3</v>
      </c>
      <c r="F5" s="37">
        <v>7.0000000000000001E-3</v>
      </c>
      <c r="G5" s="37">
        <v>1.2E-2</v>
      </c>
      <c r="H5" s="37">
        <v>1.7000000000000001E-2</v>
      </c>
      <c r="J5" s="2" t="s">
        <v>33</v>
      </c>
      <c r="K5" s="2" t="s">
        <v>39</v>
      </c>
      <c r="L5" s="41">
        <v>362</v>
      </c>
    </row>
    <row r="6" spans="1:12">
      <c r="D6" s="36">
        <v>0.5</v>
      </c>
      <c r="E6" s="37">
        <v>3.0000000000000001E-3</v>
      </c>
      <c r="F6" s="37">
        <v>8.0000000000000002E-3</v>
      </c>
      <c r="G6" s="37">
        <v>1.2999999999999999E-2</v>
      </c>
      <c r="H6" s="37">
        <v>1.7999999999999999E-2</v>
      </c>
      <c r="J6" s="2" t="s">
        <v>34</v>
      </c>
      <c r="K6" s="2" t="s">
        <v>48</v>
      </c>
      <c r="L6" s="41">
        <v>380</v>
      </c>
    </row>
    <row r="7" spans="1:12">
      <c r="D7" s="36">
        <v>0.6</v>
      </c>
      <c r="E7" s="37">
        <v>4.0000000000000001E-3</v>
      </c>
      <c r="F7" s="37">
        <v>8.9999999999999993E-3</v>
      </c>
      <c r="G7" s="37">
        <v>1.4E-2</v>
      </c>
      <c r="H7" s="37">
        <v>1.9E-2</v>
      </c>
      <c r="J7" s="2" t="s">
        <v>35</v>
      </c>
      <c r="K7" s="2" t="s">
        <v>44</v>
      </c>
      <c r="L7" s="41">
        <v>582</v>
      </c>
    </row>
    <row r="8" spans="1:12">
      <c r="D8" s="36">
        <v>0.7</v>
      </c>
      <c r="E8" s="37">
        <v>5.0000000000000001E-3</v>
      </c>
      <c r="F8" s="37">
        <v>0.01</v>
      </c>
      <c r="G8" s="37">
        <v>1.4999999999999999E-2</v>
      </c>
      <c r="H8" s="37">
        <v>0.02</v>
      </c>
      <c r="J8" s="2" t="s">
        <v>36</v>
      </c>
      <c r="K8" s="2" t="s">
        <v>40</v>
      </c>
      <c r="L8" s="41">
        <v>482</v>
      </c>
    </row>
    <row r="9" spans="1:12">
      <c r="J9" s="2" t="s">
        <v>41</v>
      </c>
      <c r="K9" s="2" t="s">
        <v>42</v>
      </c>
      <c r="L9" s="41">
        <v>500</v>
      </c>
    </row>
  </sheetData>
  <mergeCells count="2">
    <mergeCell ref="D2:D3"/>
    <mergeCell ref="E2:H2"/>
  </mergeCells>
  <phoneticPr fontId="3"/>
  <printOptions headings="1"/>
  <pageMargins left="0.35433070866141736" right="0.15748031496062992" top="0.98425196850393704" bottom="0.62992125984251968" header="0.51181102362204722" footer="0.51181102362204722"/>
  <pageSetup paperSize="9" orientation="landscape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46"/>
  <sheetViews>
    <sheetView zoomScaleNormal="100" workbookViewId="0"/>
  </sheetViews>
  <sheetFormatPr defaultRowHeight="13.5"/>
  <cols>
    <col min="1" max="1" width="7.5" bestFit="1" customWidth="1"/>
    <col min="2" max="3" width="11.625" bestFit="1" customWidth="1"/>
    <col min="4" max="5" width="9.5" bestFit="1" customWidth="1"/>
    <col min="6" max="6" width="9.5" customWidth="1"/>
  </cols>
  <sheetData>
    <row r="1" spans="1:6" s="1" customFormat="1">
      <c r="A1" s="4" t="s">
        <v>6</v>
      </c>
      <c r="B1" s="5" t="s">
        <v>1</v>
      </c>
      <c r="C1" s="5" t="s">
        <v>2</v>
      </c>
      <c r="D1" s="5" t="s">
        <v>7</v>
      </c>
      <c r="E1" s="5" t="s">
        <v>24</v>
      </c>
      <c r="F1" s="6" t="s">
        <v>25</v>
      </c>
    </row>
    <row r="2" spans="1:6">
      <c r="A2" s="7" t="s">
        <v>31</v>
      </c>
      <c r="B2" s="26">
        <v>45231</v>
      </c>
      <c r="C2" s="26">
        <v>45233</v>
      </c>
      <c r="D2" s="27">
        <f t="shared" ref="D2:D29" si="0">C2-B2+1</f>
        <v>3</v>
      </c>
      <c r="E2" s="27">
        <f>IF(D2&gt;=5,VLOOKUP(RIGHT(A2,1),テーブル!$A$3:$B$5,2,0)*105%,VLOOKUP(RIGHT(A2,1),テーブル!$A$3:$B$5,2,0))</f>
        <v>2100</v>
      </c>
      <c r="F2" s="28">
        <f t="shared" ref="F2:F29" si="1">D2-1</f>
        <v>2</v>
      </c>
    </row>
    <row r="3" spans="1:6">
      <c r="A3" s="7" t="s">
        <v>31</v>
      </c>
      <c r="B3" s="26">
        <v>45237</v>
      </c>
      <c r="C3" s="26">
        <v>45240</v>
      </c>
      <c r="D3" s="27">
        <f t="shared" si="0"/>
        <v>4</v>
      </c>
      <c r="E3" s="27">
        <f>IF(D3&gt;=5,VLOOKUP(RIGHT(A3,1),テーブル!$A$3:$B$5,2,0)*105%,VLOOKUP(RIGHT(A3,1),テーブル!$A$3:$B$5,2,0))</f>
        <v>2100</v>
      </c>
      <c r="F3" s="28">
        <f t="shared" si="1"/>
        <v>3</v>
      </c>
    </row>
    <row r="4" spans="1:6">
      <c r="A4" s="7" t="s">
        <v>31</v>
      </c>
      <c r="B4" s="26">
        <v>45245</v>
      </c>
      <c r="C4" s="26">
        <v>45249</v>
      </c>
      <c r="D4" s="27">
        <f t="shared" si="0"/>
        <v>5</v>
      </c>
      <c r="E4" s="27">
        <f>IF(D4&gt;=5,VLOOKUP(RIGHT(A4,1),テーブル!$A$3:$B$5,2,0)*105%,VLOOKUP(RIGHT(A4,1),テーブル!$A$3:$B$5,2,0))</f>
        <v>2205</v>
      </c>
      <c r="F4" s="28">
        <f t="shared" si="1"/>
        <v>4</v>
      </c>
    </row>
    <row r="5" spans="1:6">
      <c r="A5" s="7" t="s">
        <v>31</v>
      </c>
      <c r="B5" s="26">
        <v>45257</v>
      </c>
      <c r="C5" s="26">
        <v>45260</v>
      </c>
      <c r="D5" s="27">
        <f t="shared" si="0"/>
        <v>4</v>
      </c>
      <c r="E5" s="27">
        <f>IF(D5&gt;=5,VLOOKUP(RIGHT(A5,1),テーブル!$A$3:$B$5,2,0)*105%,VLOOKUP(RIGHT(A5,1),テーブル!$A$3:$B$5,2,0))</f>
        <v>2100</v>
      </c>
      <c r="F5" s="28">
        <f t="shared" si="1"/>
        <v>3</v>
      </c>
    </row>
    <row r="6" spans="1:6">
      <c r="A6" s="7" t="s">
        <v>32</v>
      </c>
      <c r="B6" s="26">
        <v>45236</v>
      </c>
      <c r="C6" s="26">
        <v>45238</v>
      </c>
      <c r="D6" s="27">
        <f t="shared" si="0"/>
        <v>3</v>
      </c>
      <c r="E6" s="27">
        <f>IF(D6&gt;=5,VLOOKUP(RIGHT(A6,1),テーブル!$A$3:$B$5,2,0)*105%,VLOOKUP(RIGHT(A6,1),テーブル!$A$3:$B$5,2,0))</f>
        <v>2500</v>
      </c>
      <c r="F6" s="28">
        <f t="shared" si="1"/>
        <v>2</v>
      </c>
    </row>
    <row r="7" spans="1:6">
      <c r="A7" s="7" t="s">
        <v>32</v>
      </c>
      <c r="B7" s="26">
        <v>45243</v>
      </c>
      <c r="C7" s="26">
        <v>45248</v>
      </c>
      <c r="D7" s="27">
        <f t="shared" si="0"/>
        <v>6</v>
      </c>
      <c r="E7" s="27">
        <f>IF(D7&gt;=5,VLOOKUP(RIGHT(A7,1),テーブル!$A$3:$B$5,2,0)*105%,VLOOKUP(RIGHT(A7,1),テーブル!$A$3:$B$5,2,0))</f>
        <v>2625</v>
      </c>
      <c r="F7" s="28">
        <f t="shared" si="1"/>
        <v>5</v>
      </c>
    </row>
    <row r="8" spans="1:6">
      <c r="A8" s="7" t="s">
        <v>32</v>
      </c>
      <c r="B8" s="26">
        <v>45250</v>
      </c>
      <c r="C8" s="26">
        <v>45256</v>
      </c>
      <c r="D8" s="27">
        <f t="shared" si="0"/>
        <v>7</v>
      </c>
      <c r="E8" s="27">
        <f>IF(D8&gt;=5,VLOOKUP(RIGHT(A8,1),テーブル!$A$3:$B$5,2,0)*105%,VLOOKUP(RIGHT(A8,1),テーブル!$A$3:$B$5,2,0))</f>
        <v>2625</v>
      </c>
      <c r="F8" s="28">
        <f t="shared" si="1"/>
        <v>6</v>
      </c>
    </row>
    <row r="9" spans="1:6">
      <c r="A9" s="7" t="s">
        <v>32</v>
      </c>
      <c r="B9" s="26">
        <v>45259</v>
      </c>
      <c r="C9" s="26">
        <v>45260</v>
      </c>
      <c r="D9" s="27">
        <f t="shared" si="0"/>
        <v>2</v>
      </c>
      <c r="E9" s="27">
        <f>IF(D9&gt;=5,VLOOKUP(RIGHT(A9,1),テーブル!$A$3:$B$5,2,0)*105%,VLOOKUP(RIGHT(A9,1),テーブル!$A$3:$B$5,2,0))</f>
        <v>2500</v>
      </c>
      <c r="F9" s="28">
        <f t="shared" si="1"/>
        <v>1</v>
      </c>
    </row>
    <row r="10" spans="1:6">
      <c r="A10" s="7" t="s">
        <v>33</v>
      </c>
      <c r="B10" s="26">
        <v>45231</v>
      </c>
      <c r="C10" s="26">
        <v>45234</v>
      </c>
      <c r="D10" s="27">
        <f t="shared" si="0"/>
        <v>4</v>
      </c>
      <c r="E10" s="27">
        <f>IF(D10&gt;=5,VLOOKUP(RIGHT(A10,1),テーブル!$A$3:$B$5,2,0)*105%,VLOOKUP(RIGHT(A10,1),テーブル!$A$3:$B$5,2,0))</f>
        <v>2300</v>
      </c>
      <c r="F10" s="28">
        <f t="shared" si="1"/>
        <v>3</v>
      </c>
    </row>
    <row r="11" spans="1:6">
      <c r="A11" s="7" t="s">
        <v>33</v>
      </c>
      <c r="B11" s="26">
        <v>45238</v>
      </c>
      <c r="C11" s="26">
        <v>45239</v>
      </c>
      <c r="D11" s="27">
        <f t="shared" si="0"/>
        <v>2</v>
      </c>
      <c r="E11" s="27">
        <f>IF(D11&gt;=5,VLOOKUP(RIGHT(A11,1),テーブル!$A$3:$B$5,2,0)*105%,VLOOKUP(RIGHT(A11,1),テーブル!$A$3:$B$5,2,0))</f>
        <v>2300</v>
      </c>
      <c r="F11" s="28">
        <f t="shared" si="1"/>
        <v>1</v>
      </c>
    </row>
    <row r="12" spans="1:6">
      <c r="A12" s="7" t="s">
        <v>33</v>
      </c>
      <c r="B12" s="26">
        <v>45243</v>
      </c>
      <c r="C12" s="26">
        <v>45250</v>
      </c>
      <c r="D12" s="27">
        <f t="shared" si="0"/>
        <v>8</v>
      </c>
      <c r="E12" s="27">
        <f>IF(D12&gt;=5,VLOOKUP(RIGHT(A12,1),テーブル!$A$3:$B$5,2,0)*105%,VLOOKUP(RIGHT(A12,1),テーブル!$A$3:$B$5,2,0))</f>
        <v>2415</v>
      </c>
      <c r="F12" s="28">
        <f t="shared" si="1"/>
        <v>7</v>
      </c>
    </row>
    <row r="13" spans="1:6">
      <c r="A13" s="7" t="s">
        <v>33</v>
      </c>
      <c r="B13" s="26">
        <v>45252</v>
      </c>
      <c r="C13" s="26">
        <v>45254</v>
      </c>
      <c r="D13" s="27">
        <f t="shared" si="0"/>
        <v>3</v>
      </c>
      <c r="E13" s="27">
        <f>IF(D13&gt;=5,VLOOKUP(RIGHT(A13,1),テーブル!$A$3:$B$5,2,0)*105%,VLOOKUP(RIGHT(A13,1),テーブル!$A$3:$B$5,2,0))</f>
        <v>2300</v>
      </c>
      <c r="F13" s="28">
        <f t="shared" si="1"/>
        <v>2</v>
      </c>
    </row>
    <row r="14" spans="1:6">
      <c r="A14" s="7" t="s">
        <v>34</v>
      </c>
      <c r="B14" s="26">
        <v>45235</v>
      </c>
      <c r="C14" s="26">
        <v>45240</v>
      </c>
      <c r="D14" s="27">
        <f t="shared" si="0"/>
        <v>6</v>
      </c>
      <c r="E14" s="27">
        <f>IF(D14&gt;=5,VLOOKUP(RIGHT(A14,1),テーブル!$A$3:$B$5,2,0)*105%,VLOOKUP(RIGHT(A14,1),テーブル!$A$3:$B$5,2,0))</f>
        <v>2625</v>
      </c>
      <c r="F14" s="28">
        <f t="shared" si="1"/>
        <v>5</v>
      </c>
    </row>
    <row r="15" spans="1:6">
      <c r="A15" s="7" t="s">
        <v>34</v>
      </c>
      <c r="B15" s="26">
        <v>45243</v>
      </c>
      <c r="C15" s="26">
        <v>45247</v>
      </c>
      <c r="D15" s="27">
        <f t="shared" si="0"/>
        <v>5</v>
      </c>
      <c r="E15" s="27">
        <f>IF(D15&gt;=5,VLOOKUP(RIGHT(A15,1),テーブル!$A$3:$B$5,2,0)*105%,VLOOKUP(RIGHT(A15,1),テーブル!$A$3:$B$5,2,0))</f>
        <v>2625</v>
      </c>
      <c r="F15" s="28">
        <f t="shared" si="1"/>
        <v>4</v>
      </c>
    </row>
    <row r="16" spans="1:6">
      <c r="A16" s="7" t="s">
        <v>34</v>
      </c>
      <c r="B16" s="26">
        <v>45249</v>
      </c>
      <c r="C16" s="26">
        <v>45255</v>
      </c>
      <c r="D16" s="27">
        <f t="shared" si="0"/>
        <v>7</v>
      </c>
      <c r="E16" s="27">
        <f>IF(D16&gt;=5,VLOOKUP(RIGHT(A16,1),テーブル!$A$3:$B$5,2,0)*105%,VLOOKUP(RIGHT(A16,1),テーブル!$A$3:$B$5,2,0))</f>
        <v>2625</v>
      </c>
      <c r="F16" s="28">
        <f t="shared" si="1"/>
        <v>6</v>
      </c>
    </row>
    <row r="17" spans="1:7">
      <c r="A17" s="7" t="s">
        <v>34</v>
      </c>
      <c r="B17" s="26">
        <v>45257</v>
      </c>
      <c r="C17" s="26">
        <v>45260</v>
      </c>
      <c r="D17" s="27">
        <f t="shared" si="0"/>
        <v>4</v>
      </c>
      <c r="E17" s="27">
        <f>IF(D17&gt;=5,VLOOKUP(RIGHT(A17,1),テーブル!$A$3:$B$5,2,0)*105%,VLOOKUP(RIGHT(A17,1),テーブル!$A$3:$B$5,2,0))</f>
        <v>2500</v>
      </c>
      <c r="F17" s="28">
        <f t="shared" si="1"/>
        <v>3</v>
      </c>
    </row>
    <row r="18" spans="1:7">
      <c r="A18" s="7" t="s">
        <v>35</v>
      </c>
      <c r="B18" s="26">
        <v>45234</v>
      </c>
      <c r="C18" s="26">
        <v>45240</v>
      </c>
      <c r="D18" s="27">
        <f t="shared" si="0"/>
        <v>7</v>
      </c>
      <c r="E18" s="27">
        <f>IF(D18&gt;=5,VLOOKUP(RIGHT(A18,1),テーブル!$A$3:$B$5,2,0)*105%,VLOOKUP(RIGHT(A18,1),テーブル!$A$3:$B$5,2,0))</f>
        <v>2415</v>
      </c>
      <c r="F18" s="28">
        <f t="shared" si="1"/>
        <v>6</v>
      </c>
    </row>
    <row r="19" spans="1:7">
      <c r="A19" s="7" t="s">
        <v>35</v>
      </c>
      <c r="B19" s="26">
        <v>45242</v>
      </c>
      <c r="C19" s="26">
        <v>45245</v>
      </c>
      <c r="D19" s="27">
        <f t="shared" si="0"/>
        <v>4</v>
      </c>
      <c r="E19" s="27">
        <f>IF(D19&gt;=5,VLOOKUP(RIGHT(A19,1),テーブル!$A$3:$B$5,2,0)*105%,VLOOKUP(RIGHT(A19,1),テーブル!$A$3:$B$5,2,0))</f>
        <v>2300</v>
      </c>
      <c r="F19" s="28">
        <f t="shared" si="1"/>
        <v>3</v>
      </c>
    </row>
    <row r="20" spans="1:7">
      <c r="A20" s="7" t="s">
        <v>35</v>
      </c>
      <c r="B20" s="26">
        <v>45248</v>
      </c>
      <c r="C20" s="26">
        <v>45255</v>
      </c>
      <c r="D20" s="27">
        <f t="shared" si="0"/>
        <v>8</v>
      </c>
      <c r="E20" s="27">
        <f>IF(D20&gt;=5,VLOOKUP(RIGHT(A20,1),テーブル!$A$3:$B$5,2,0)*105%,VLOOKUP(RIGHT(A20,1),テーブル!$A$3:$B$5,2,0))</f>
        <v>2415</v>
      </c>
      <c r="F20" s="28">
        <f t="shared" si="1"/>
        <v>7</v>
      </c>
    </row>
    <row r="21" spans="1:7">
      <c r="A21" s="7" t="s">
        <v>35</v>
      </c>
      <c r="B21" s="26">
        <v>45257</v>
      </c>
      <c r="C21" s="26">
        <v>45260</v>
      </c>
      <c r="D21" s="27">
        <f t="shared" si="0"/>
        <v>4</v>
      </c>
      <c r="E21" s="27">
        <f>IF(D21&gt;=5,VLOOKUP(RIGHT(A21,1),テーブル!$A$3:$B$5,2,0)*105%,VLOOKUP(RIGHT(A21,1),テーブル!$A$3:$B$5,2,0))</f>
        <v>2300</v>
      </c>
      <c r="F21" s="28">
        <f t="shared" si="1"/>
        <v>3</v>
      </c>
    </row>
    <row r="22" spans="1:7">
      <c r="A22" s="7" t="s">
        <v>36</v>
      </c>
      <c r="B22" s="26">
        <v>45231</v>
      </c>
      <c r="C22" s="26">
        <v>45238</v>
      </c>
      <c r="D22" s="27">
        <f t="shared" si="0"/>
        <v>8</v>
      </c>
      <c r="E22" s="27">
        <f>IF(D22&gt;=5,VLOOKUP(RIGHT(A22,1),テーブル!$A$3:$B$5,2,0)*105%,VLOOKUP(RIGHT(A22,1),テーブル!$A$3:$B$5,2,0))</f>
        <v>2205</v>
      </c>
      <c r="F22" s="28">
        <f t="shared" si="1"/>
        <v>7</v>
      </c>
    </row>
    <row r="23" spans="1:7">
      <c r="A23" s="7" t="s">
        <v>36</v>
      </c>
      <c r="B23" s="26">
        <v>45240</v>
      </c>
      <c r="C23" s="26">
        <v>45241</v>
      </c>
      <c r="D23" s="27">
        <f t="shared" si="0"/>
        <v>2</v>
      </c>
      <c r="E23" s="27">
        <f>IF(D23&gt;=5,VLOOKUP(RIGHT(A23,1),テーブル!$A$3:$B$5,2,0)*105%,VLOOKUP(RIGHT(A23,1),テーブル!$A$3:$B$5,2,0))</f>
        <v>2100</v>
      </c>
      <c r="F23" s="28">
        <f t="shared" si="1"/>
        <v>1</v>
      </c>
    </row>
    <row r="24" spans="1:7">
      <c r="A24" s="7" t="s">
        <v>36</v>
      </c>
      <c r="B24" s="26">
        <v>45243</v>
      </c>
      <c r="C24" s="26">
        <v>45248</v>
      </c>
      <c r="D24" s="27">
        <f t="shared" si="0"/>
        <v>6</v>
      </c>
      <c r="E24" s="27">
        <f>IF(D24&gt;=5,VLOOKUP(RIGHT(A24,1),テーブル!$A$3:$B$5,2,0)*105%,VLOOKUP(RIGHT(A24,1),テーブル!$A$3:$B$5,2,0))</f>
        <v>2205</v>
      </c>
      <c r="F24" s="28">
        <f t="shared" si="1"/>
        <v>5</v>
      </c>
    </row>
    <row r="25" spans="1:7">
      <c r="A25" s="7" t="s">
        <v>36</v>
      </c>
      <c r="B25" s="26">
        <v>45250</v>
      </c>
      <c r="C25" s="26">
        <v>45254</v>
      </c>
      <c r="D25" s="27">
        <f t="shared" si="0"/>
        <v>5</v>
      </c>
      <c r="E25" s="27">
        <f>IF(D25&gt;=5,VLOOKUP(RIGHT(A25,1),テーブル!$A$3:$B$5,2,0)*105%,VLOOKUP(RIGHT(A25,1),テーブル!$A$3:$B$5,2,0))</f>
        <v>2205</v>
      </c>
      <c r="F25" s="28">
        <f t="shared" si="1"/>
        <v>4</v>
      </c>
    </row>
    <row r="26" spans="1:7">
      <c r="A26" s="7" t="s">
        <v>41</v>
      </c>
      <c r="B26" s="26">
        <v>45232</v>
      </c>
      <c r="C26" s="26">
        <v>45235</v>
      </c>
      <c r="D26" s="27">
        <f t="shared" si="0"/>
        <v>4</v>
      </c>
      <c r="E26" s="27">
        <f>IF(D26&gt;=5,VLOOKUP(RIGHT(A26,1),テーブル!$A$3:$B$5,2,0)*105%,VLOOKUP(RIGHT(A26,1),テーブル!$A$3:$B$5,2,0))</f>
        <v>2300</v>
      </c>
      <c r="F26" s="28">
        <f t="shared" si="1"/>
        <v>3</v>
      </c>
    </row>
    <row r="27" spans="1:7">
      <c r="A27" s="7" t="s">
        <v>41</v>
      </c>
      <c r="B27" s="26">
        <v>45239</v>
      </c>
      <c r="C27" s="26">
        <v>45240</v>
      </c>
      <c r="D27" s="27">
        <f t="shared" si="0"/>
        <v>2</v>
      </c>
      <c r="E27" s="27">
        <f>IF(D27&gt;=5,VLOOKUP(RIGHT(A27,1),テーブル!$A$3:$B$5,2,0)*105%,VLOOKUP(RIGHT(A27,1),テーブル!$A$3:$B$5,2,0))</f>
        <v>2300</v>
      </c>
      <c r="F27" s="28">
        <f t="shared" si="1"/>
        <v>1</v>
      </c>
    </row>
    <row r="28" spans="1:7">
      <c r="A28" s="7" t="s">
        <v>41</v>
      </c>
      <c r="B28" s="26">
        <v>45243</v>
      </c>
      <c r="C28" s="26">
        <v>45247</v>
      </c>
      <c r="D28" s="27">
        <f t="shared" si="0"/>
        <v>5</v>
      </c>
      <c r="E28" s="27">
        <f>IF(D28&gt;=5,VLOOKUP(RIGHT(A28,1),テーブル!$A$3:$B$5,2,0)*105%,VLOOKUP(RIGHT(A28,1),テーブル!$A$3:$B$5,2,0))</f>
        <v>2415</v>
      </c>
      <c r="F28" s="28">
        <f t="shared" si="1"/>
        <v>4</v>
      </c>
    </row>
    <row r="29" spans="1:7">
      <c r="A29" s="7" t="s">
        <v>41</v>
      </c>
      <c r="B29" s="26">
        <v>45249</v>
      </c>
      <c r="C29" s="26">
        <v>45256</v>
      </c>
      <c r="D29" s="27">
        <f t="shared" si="0"/>
        <v>8</v>
      </c>
      <c r="E29" s="27">
        <f>IF(D29&gt;=5,VLOOKUP(RIGHT(A29,1),テーブル!$A$3:$B$5,2,0)*105%,VLOOKUP(RIGHT(A29,1),テーブル!$A$3:$B$5,2,0))</f>
        <v>2415</v>
      </c>
      <c r="F29" s="28">
        <f t="shared" si="1"/>
        <v>7</v>
      </c>
    </row>
    <row r="30" spans="1:7">
      <c r="A30" s="7"/>
      <c r="B30" s="2"/>
      <c r="C30" s="2"/>
      <c r="D30" s="2"/>
      <c r="E30" s="2"/>
      <c r="F30" s="29"/>
    </row>
    <row r="31" spans="1:7" ht="14.25" thickBot="1">
      <c r="A31" s="33" t="s">
        <v>26</v>
      </c>
      <c r="B31" s="23"/>
      <c r="C31" s="10"/>
      <c r="D31" s="11">
        <f>SUM(D2:D29)</f>
        <v>136</v>
      </c>
      <c r="E31" s="30"/>
      <c r="F31" s="31">
        <f>SUM(F2:F29)</f>
        <v>108</v>
      </c>
      <c r="G31" s="45" t="s">
        <v>50</v>
      </c>
    </row>
    <row r="33" spans="4:6">
      <c r="D33" s="13"/>
    </row>
    <row r="46" spans="4:6">
      <c r="E46" s="1"/>
      <c r="F46" s="1"/>
    </row>
  </sheetData>
  <phoneticPr fontId="3"/>
  <printOptions headings="1"/>
  <pageMargins left="0.35433070866141736" right="0.15748031496062992" top="0.98425196850393704" bottom="0.62992125984251968" header="0.51181102362204722" footer="0.51181102362204722"/>
  <pageSetup paperSize="9" orientation="landscape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37"/>
  <sheetViews>
    <sheetView zoomScaleNormal="100" workbookViewId="0"/>
  </sheetViews>
  <sheetFormatPr defaultRowHeight="13.5"/>
  <cols>
    <col min="1" max="1" width="7.5" bestFit="1" customWidth="1"/>
    <col min="2" max="2" width="11.625" bestFit="1" customWidth="1"/>
    <col min="3" max="4" width="7.5" bestFit="1" customWidth="1"/>
    <col min="5" max="5" width="12.75" bestFit="1" customWidth="1"/>
    <col min="6" max="6" width="7.5" bestFit="1" customWidth="1"/>
    <col min="7" max="7" width="10.5" bestFit="1" customWidth="1"/>
    <col min="9" max="9" width="11.625" bestFit="1" customWidth="1"/>
  </cols>
  <sheetData>
    <row r="1" spans="1:7" s="1" customFormat="1">
      <c r="A1" s="4" t="s">
        <v>6</v>
      </c>
      <c r="B1" s="5" t="s">
        <v>1</v>
      </c>
      <c r="C1" s="5" t="s">
        <v>12</v>
      </c>
      <c r="D1" s="5" t="s">
        <v>10</v>
      </c>
      <c r="E1" s="5" t="s">
        <v>11</v>
      </c>
      <c r="F1" s="5" t="s">
        <v>13</v>
      </c>
      <c r="G1" s="6" t="s">
        <v>14</v>
      </c>
    </row>
    <row r="2" spans="1:7">
      <c r="A2" s="7" t="s">
        <v>31</v>
      </c>
      <c r="B2" s="26">
        <v>45231</v>
      </c>
      <c r="C2" s="2">
        <v>12</v>
      </c>
      <c r="D2" s="2">
        <v>5</v>
      </c>
      <c r="E2" s="44">
        <v>494000</v>
      </c>
      <c r="F2" s="42">
        <f>ROUNDUP(D2/C2,2)</f>
        <v>0.42</v>
      </c>
      <c r="G2" s="32">
        <f>ROUNDDOWN(E2*INDEX(テーブル!$E$4:$H$8,MATCH(F2,テーブル!$D$4:$D$8,1),MATCH(D2,テーブル!$E$3:$H$3,1)),-2)</f>
        <v>900</v>
      </c>
    </row>
    <row r="3" spans="1:7">
      <c r="A3" s="7" t="s">
        <v>31</v>
      </c>
      <c r="B3" s="26">
        <v>45237</v>
      </c>
      <c r="C3" s="2">
        <v>28</v>
      </c>
      <c r="D3" s="2">
        <v>11</v>
      </c>
      <c r="E3" s="39">
        <v>1000000</v>
      </c>
      <c r="F3" s="42">
        <f t="shared" ref="F3:F28" si="0">ROUNDUP(D3/C3,2)</f>
        <v>0.4</v>
      </c>
      <c r="G3" s="32">
        <f>ROUNDDOWN(E3*INDEX(テーブル!$E$4:$H$8,MATCH(F3,テーブル!$D$4:$D$8,1),MATCH(D3,テーブル!$E$3:$H$3,1)),-2)</f>
        <v>7000</v>
      </c>
    </row>
    <row r="4" spans="1:7">
      <c r="A4" s="7" t="s">
        <v>31</v>
      </c>
      <c r="B4" s="26">
        <v>45245</v>
      </c>
      <c r="C4" s="2">
        <v>20</v>
      </c>
      <c r="D4" s="2">
        <v>5</v>
      </c>
      <c r="E4" s="44">
        <v>478000</v>
      </c>
      <c r="F4" s="42">
        <f t="shared" si="0"/>
        <v>0.25</v>
      </c>
      <c r="G4" s="32">
        <f>ROUNDDOWN(E4*INDEX(テーブル!$E$4:$H$8,MATCH(F4,テーブル!$D$4:$D$8,1),MATCH(D4,テーブル!$E$3:$H$3,1)),-2)</f>
        <v>400</v>
      </c>
    </row>
    <row r="5" spans="1:7">
      <c r="A5" s="7" t="s">
        <v>31</v>
      </c>
      <c r="B5" s="26">
        <v>45257</v>
      </c>
      <c r="C5" s="2">
        <v>21</v>
      </c>
      <c r="D5" s="2">
        <v>12</v>
      </c>
      <c r="E5" s="39">
        <v>1046000</v>
      </c>
      <c r="F5" s="42">
        <f t="shared" si="0"/>
        <v>0.57999999999999996</v>
      </c>
      <c r="G5" s="32">
        <f>ROUNDDOWN(E5*INDEX(テーブル!$E$4:$H$8,MATCH(F5,テーブル!$D$4:$D$8,1),MATCH(D5,テーブル!$E$3:$H$3,1)),-2)</f>
        <v>8300</v>
      </c>
    </row>
    <row r="6" spans="1:7">
      <c r="A6" s="7" t="s">
        <v>32</v>
      </c>
      <c r="B6" s="26">
        <v>45236</v>
      </c>
      <c r="C6" s="2">
        <v>26</v>
      </c>
      <c r="D6" s="2">
        <v>18</v>
      </c>
      <c r="E6" s="44">
        <v>1750000</v>
      </c>
      <c r="F6" s="42">
        <f t="shared" si="0"/>
        <v>0.7</v>
      </c>
      <c r="G6" s="32">
        <f>ROUNDDOWN(E6*INDEX(テーブル!$E$4:$H$8,MATCH(F6,テーブル!$D$4:$D$8,1),MATCH(D6,テーブル!$E$3:$H$3,1)),-2)</f>
        <v>26200</v>
      </c>
    </row>
    <row r="7" spans="1:7">
      <c r="A7" s="7" t="s">
        <v>32</v>
      </c>
      <c r="B7" s="26">
        <v>45243</v>
      </c>
      <c r="C7" s="2">
        <v>31</v>
      </c>
      <c r="D7" s="2">
        <v>21</v>
      </c>
      <c r="E7" s="39">
        <v>1952000</v>
      </c>
      <c r="F7" s="42">
        <f t="shared" si="0"/>
        <v>0.68</v>
      </c>
      <c r="G7" s="32">
        <f>ROUNDDOWN(E7*INDEX(テーブル!$E$4:$H$8,MATCH(F7,テーブル!$D$4:$D$8,1),MATCH(D7,テーブル!$E$3:$H$3,1)),-2)</f>
        <v>37000</v>
      </c>
    </row>
    <row r="8" spans="1:7">
      <c r="A8" s="7" t="s">
        <v>32</v>
      </c>
      <c r="B8" s="26">
        <v>45250</v>
      </c>
      <c r="C8" s="2">
        <v>30</v>
      </c>
      <c r="D8" s="2">
        <v>11</v>
      </c>
      <c r="E8" s="44">
        <v>914000</v>
      </c>
      <c r="F8" s="42">
        <f t="shared" si="0"/>
        <v>0.37</v>
      </c>
      <c r="G8" s="32">
        <f>ROUNDDOWN(E8*INDEX(テーブル!$E$4:$H$8,MATCH(F8,テーブル!$D$4:$D$8,1),MATCH(D8,テーブル!$E$3:$H$3,1)),-2)</f>
        <v>5400</v>
      </c>
    </row>
    <row r="9" spans="1:7">
      <c r="A9" s="7" t="s">
        <v>32</v>
      </c>
      <c r="B9" s="26">
        <v>45259</v>
      </c>
      <c r="C9" s="2">
        <v>9</v>
      </c>
      <c r="D9" s="2">
        <v>6</v>
      </c>
      <c r="E9" s="39">
        <v>524000</v>
      </c>
      <c r="F9" s="42">
        <f t="shared" si="0"/>
        <v>0.67</v>
      </c>
      <c r="G9" s="32">
        <f>ROUNDDOWN(E9*INDEX(テーブル!$E$4:$H$8,MATCH(F9,テーブル!$D$4:$D$8,1),MATCH(D9,テーブル!$E$3:$H$3,1)),-2)</f>
        <v>2000</v>
      </c>
    </row>
    <row r="10" spans="1:7">
      <c r="A10" s="7" t="s">
        <v>33</v>
      </c>
      <c r="B10" s="26">
        <v>45231</v>
      </c>
      <c r="C10" s="2">
        <v>13</v>
      </c>
      <c r="D10" s="2">
        <v>9</v>
      </c>
      <c r="E10" s="44">
        <v>772000</v>
      </c>
      <c r="F10" s="42">
        <f t="shared" si="0"/>
        <v>0.7</v>
      </c>
      <c r="G10" s="32">
        <f>ROUNDDOWN(E10*INDEX(テーブル!$E$4:$H$8,MATCH(F10,テーブル!$D$4:$D$8,1),MATCH(D10,テーブル!$E$3:$H$3,1)),-2)</f>
        <v>3800</v>
      </c>
    </row>
    <row r="11" spans="1:7">
      <c r="A11" s="7" t="s">
        <v>33</v>
      </c>
      <c r="B11" s="26">
        <v>45238</v>
      </c>
      <c r="C11" s="2">
        <v>8</v>
      </c>
      <c r="D11" s="2">
        <v>4</v>
      </c>
      <c r="E11" s="39">
        <v>390000</v>
      </c>
      <c r="F11" s="42">
        <f t="shared" si="0"/>
        <v>0.5</v>
      </c>
      <c r="G11" s="32">
        <f>ROUNDDOWN(E11*INDEX(テーブル!$E$4:$H$8,MATCH(F11,テーブル!$D$4:$D$8,1),MATCH(D11,テーブル!$E$3:$H$3,1)),-2)</f>
        <v>1100</v>
      </c>
    </row>
    <row r="12" spans="1:7">
      <c r="A12" s="7" t="s">
        <v>33</v>
      </c>
      <c r="B12" s="26">
        <v>45243</v>
      </c>
      <c r="C12" s="2">
        <v>36</v>
      </c>
      <c r="D12" s="2">
        <v>18</v>
      </c>
      <c r="E12" s="44">
        <v>1748000</v>
      </c>
      <c r="F12" s="42">
        <f t="shared" si="0"/>
        <v>0.5</v>
      </c>
      <c r="G12" s="32">
        <f>ROUNDDOWN(E12*INDEX(テーブル!$E$4:$H$8,MATCH(F12,テーブル!$D$4:$D$8,1),MATCH(D12,テーブル!$E$3:$H$3,1)),-2)</f>
        <v>22700</v>
      </c>
    </row>
    <row r="13" spans="1:7">
      <c r="A13" s="7" t="s">
        <v>33</v>
      </c>
      <c r="B13" s="26">
        <v>45252</v>
      </c>
      <c r="C13" s="2">
        <v>11</v>
      </c>
      <c r="D13" s="2">
        <v>7</v>
      </c>
      <c r="E13" s="39">
        <v>638000</v>
      </c>
      <c r="F13" s="42">
        <f t="shared" si="0"/>
        <v>0.64</v>
      </c>
      <c r="G13" s="32">
        <f>ROUNDDOWN(E13*INDEX(テーブル!$E$4:$H$8,MATCH(F13,テーブル!$D$4:$D$8,1),MATCH(D13,テーブル!$E$3:$H$3,1)),-2)</f>
        <v>2500</v>
      </c>
    </row>
    <row r="14" spans="1:7">
      <c r="A14" s="7" t="s">
        <v>34</v>
      </c>
      <c r="B14" s="26">
        <v>45235</v>
      </c>
      <c r="C14" s="2">
        <v>19</v>
      </c>
      <c r="D14" s="2">
        <v>12</v>
      </c>
      <c r="E14" s="44">
        <v>1018000</v>
      </c>
      <c r="F14" s="42">
        <f t="shared" si="0"/>
        <v>0.64</v>
      </c>
      <c r="G14" s="32">
        <f>ROUNDDOWN(E14*INDEX(テーブル!$E$4:$H$8,MATCH(F14,テーブル!$D$4:$D$8,1),MATCH(D14,テーブル!$E$3:$H$3,1)),-2)</f>
        <v>9100</v>
      </c>
    </row>
    <row r="15" spans="1:7">
      <c r="A15" s="7" t="s">
        <v>34</v>
      </c>
      <c r="B15" s="26">
        <v>45243</v>
      </c>
      <c r="C15" s="2">
        <v>34</v>
      </c>
      <c r="D15" s="2">
        <v>14</v>
      </c>
      <c r="E15" s="39">
        <v>1250000</v>
      </c>
      <c r="F15" s="42">
        <f t="shared" si="0"/>
        <v>0.42</v>
      </c>
      <c r="G15" s="32">
        <f>ROUNDDOWN(E15*INDEX(テーブル!$E$4:$H$8,MATCH(F15,テーブル!$D$4:$D$8,1),MATCH(D15,テーブル!$E$3:$H$3,1)),-2)</f>
        <v>8700</v>
      </c>
    </row>
    <row r="16" spans="1:7">
      <c r="A16" s="7" t="s">
        <v>34</v>
      </c>
      <c r="B16" s="26">
        <v>45249</v>
      </c>
      <c r="C16" s="2">
        <v>42</v>
      </c>
      <c r="D16" s="2">
        <v>10</v>
      </c>
      <c r="E16" s="44">
        <v>986000</v>
      </c>
      <c r="F16" s="42">
        <f t="shared" si="0"/>
        <v>0.24000000000000002</v>
      </c>
      <c r="G16" s="32">
        <f>ROUNDDOWN(E16*INDEX(テーブル!$E$4:$H$8,MATCH(F16,テーブル!$D$4:$D$8,1),MATCH(D16,テーブル!$E$3:$H$3,1)),-2)</f>
        <v>5900</v>
      </c>
    </row>
    <row r="17" spans="1:8">
      <c r="A17" s="7" t="s">
        <v>34</v>
      </c>
      <c r="B17" s="26">
        <v>45257</v>
      </c>
      <c r="C17" s="2">
        <v>16</v>
      </c>
      <c r="D17" s="2">
        <v>7</v>
      </c>
      <c r="E17" s="39">
        <v>596000</v>
      </c>
      <c r="F17" s="42">
        <f t="shared" si="0"/>
        <v>0.44</v>
      </c>
      <c r="G17" s="32">
        <f>ROUNDDOWN(E17*INDEX(テーブル!$E$4:$H$8,MATCH(F17,テーブル!$D$4:$D$8,1),MATCH(D17,テーブル!$E$3:$H$3,1)),-2)</f>
        <v>1100</v>
      </c>
    </row>
    <row r="18" spans="1:8">
      <c r="A18" s="7" t="s">
        <v>35</v>
      </c>
      <c r="B18" s="26">
        <v>45234</v>
      </c>
      <c r="C18" s="2">
        <v>45</v>
      </c>
      <c r="D18" s="2">
        <v>22</v>
      </c>
      <c r="E18" s="44">
        <v>1778000</v>
      </c>
      <c r="F18" s="42">
        <f t="shared" si="0"/>
        <v>0.49</v>
      </c>
      <c r="G18" s="32">
        <f>ROUNDDOWN(E18*INDEX(テーブル!$E$4:$H$8,MATCH(F18,テーブル!$D$4:$D$8,1),MATCH(D18,テーブル!$E$3:$H$3,1)),-2)</f>
        <v>30200</v>
      </c>
    </row>
    <row r="19" spans="1:8">
      <c r="A19" s="7" t="s">
        <v>35</v>
      </c>
      <c r="B19" s="26">
        <v>45242</v>
      </c>
      <c r="C19" s="2">
        <v>27</v>
      </c>
      <c r="D19" s="2">
        <v>21</v>
      </c>
      <c r="E19" s="39">
        <v>1868000</v>
      </c>
      <c r="F19" s="42">
        <f t="shared" si="0"/>
        <v>0.78</v>
      </c>
      <c r="G19" s="32">
        <f>ROUNDDOWN(E19*INDEX(テーブル!$E$4:$H$8,MATCH(F19,テーブル!$D$4:$D$8,1),MATCH(D19,テーブル!$E$3:$H$3,1)),-2)</f>
        <v>37300</v>
      </c>
    </row>
    <row r="20" spans="1:8">
      <c r="A20" s="7" t="s">
        <v>35</v>
      </c>
      <c r="B20" s="26">
        <v>45248</v>
      </c>
      <c r="C20" s="2">
        <v>51</v>
      </c>
      <c r="D20" s="2">
        <v>16</v>
      </c>
      <c r="E20" s="44">
        <v>1588000</v>
      </c>
      <c r="F20" s="42">
        <f t="shared" si="0"/>
        <v>0.32</v>
      </c>
      <c r="G20" s="32">
        <f>ROUNDDOWN(E20*INDEX(テーブル!$E$4:$H$8,MATCH(F20,テーブル!$D$4:$D$8,1),MATCH(D20,テーブル!$E$3:$H$3,1)),-2)</f>
        <v>17400</v>
      </c>
    </row>
    <row r="21" spans="1:8">
      <c r="A21" s="7" t="s">
        <v>35</v>
      </c>
      <c r="B21" s="26">
        <v>45257</v>
      </c>
      <c r="C21" s="2">
        <v>11</v>
      </c>
      <c r="D21" s="2">
        <v>7</v>
      </c>
      <c r="E21" s="39">
        <v>584000</v>
      </c>
      <c r="F21" s="42">
        <f t="shared" si="0"/>
        <v>0.64</v>
      </c>
      <c r="G21" s="32">
        <f>ROUNDDOWN(E21*INDEX(テーブル!$E$4:$H$8,MATCH(F21,テーブル!$D$4:$D$8,1),MATCH(D21,テーブル!$E$3:$H$3,1)),-2)</f>
        <v>2300</v>
      </c>
    </row>
    <row r="22" spans="1:8">
      <c r="A22" s="7" t="s">
        <v>36</v>
      </c>
      <c r="B22" s="26">
        <v>45231</v>
      </c>
      <c r="C22" s="2">
        <v>56</v>
      </c>
      <c r="D22" s="2">
        <v>19</v>
      </c>
      <c r="E22" s="44">
        <v>1694000</v>
      </c>
      <c r="F22" s="42">
        <f t="shared" si="0"/>
        <v>0.34</v>
      </c>
      <c r="G22" s="32">
        <f>ROUNDDOWN(E22*INDEX(テーブル!$E$4:$H$8,MATCH(F22,テーブル!$D$4:$D$8,1),MATCH(D22,テーブル!$E$3:$H$3,1)),-2)</f>
        <v>18600</v>
      </c>
    </row>
    <row r="23" spans="1:8">
      <c r="A23" s="7" t="s">
        <v>36</v>
      </c>
      <c r="B23" s="26">
        <v>45240</v>
      </c>
      <c r="C23" s="2">
        <v>10</v>
      </c>
      <c r="D23" s="2">
        <v>4</v>
      </c>
      <c r="E23" s="39">
        <v>394000</v>
      </c>
      <c r="F23" s="42">
        <f t="shared" si="0"/>
        <v>0.4</v>
      </c>
      <c r="G23" s="32">
        <f>ROUNDDOWN(E23*INDEX(テーブル!$E$4:$H$8,MATCH(F23,テーブル!$D$4:$D$8,1),MATCH(D23,テーブル!$E$3:$H$3,1)),-2)</f>
        <v>700</v>
      </c>
    </row>
    <row r="24" spans="1:8">
      <c r="A24" s="7" t="s">
        <v>36</v>
      </c>
      <c r="B24" s="26">
        <v>45243</v>
      </c>
      <c r="C24" s="2">
        <v>35</v>
      </c>
      <c r="D24" s="2">
        <v>15</v>
      </c>
      <c r="E24" s="44">
        <v>1368000</v>
      </c>
      <c r="F24" s="42">
        <f t="shared" si="0"/>
        <v>0.43</v>
      </c>
      <c r="G24" s="32">
        <f>ROUNDDOWN(E24*INDEX(テーブル!$E$4:$H$8,MATCH(F24,テーブル!$D$4:$D$8,1),MATCH(D24,テーブル!$E$3:$H$3,1)),-2)</f>
        <v>16400</v>
      </c>
    </row>
    <row r="25" spans="1:8">
      <c r="A25" s="7" t="s">
        <v>36</v>
      </c>
      <c r="B25" s="26">
        <v>45250</v>
      </c>
      <c r="C25" s="2">
        <v>28</v>
      </c>
      <c r="D25" s="2">
        <v>17</v>
      </c>
      <c r="E25" s="39">
        <v>1366000</v>
      </c>
      <c r="F25" s="42">
        <f t="shared" si="0"/>
        <v>0.61</v>
      </c>
      <c r="G25" s="32">
        <f>ROUNDDOWN(E25*INDEX(テーブル!$E$4:$H$8,MATCH(F25,テーブル!$D$4:$D$8,1),MATCH(D25,テーブル!$E$3:$H$3,1)),-2)</f>
        <v>19100</v>
      </c>
    </row>
    <row r="26" spans="1:8">
      <c r="A26" s="7" t="s">
        <v>41</v>
      </c>
      <c r="B26" s="26">
        <v>45232</v>
      </c>
      <c r="C26" s="2">
        <v>20</v>
      </c>
      <c r="D26" s="2">
        <v>14</v>
      </c>
      <c r="E26" s="39">
        <v>1144000</v>
      </c>
      <c r="F26" s="42">
        <f t="shared" si="0"/>
        <v>0.7</v>
      </c>
      <c r="G26" s="32">
        <f>ROUNDDOWN(E26*INDEX(テーブル!$E$4:$H$8,MATCH(F26,テーブル!$D$4:$D$8,1),MATCH(D26,テーブル!$E$3:$H$3,1)),-2)</f>
        <v>11400</v>
      </c>
    </row>
    <row r="27" spans="1:8">
      <c r="A27" s="7" t="s">
        <v>41</v>
      </c>
      <c r="B27" s="26">
        <v>45239</v>
      </c>
      <c r="C27" s="2">
        <v>15</v>
      </c>
      <c r="D27" s="2">
        <v>8</v>
      </c>
      <c r="E27" s="39">
        <v>698000</v>
      </c>
      <c r="F27" s="42">
        <f t="shared" si="0"/>
        <v>0.54</v>
      </c>
      <c r="G27" s="32">
        <f>ROUNDDOWN(E27*INDEX(テーブル!$E$4:$H$8,MATCH(F27,テーブル!$D$4:$D$8,1),MATCH(D27,テーブル!$E$3:$H$3,1)),-2)</f>
        <v>2000</v>
      </c>
    </row>
    <row r="28" spans="1:8">
      <c r="A28" s="7" t="s">
        <v>41</v>
      </c>
      <c r="B28" s="26">
        <v>45243</v>
      </c>
      <c r="C28" s="2">
        <v>27</v>
      </c>
      <c r="D28" s="2">
        <v>16</v>
      </c>
      <c r="E28" s="39">
        <v>1342000</v>
      </c>
      <c r="F28" s="42">
        <f t="shared" si="0"/>
        <v>0.6</v>
      </c>
      <c r="G28" s="32">
        <f>ROUNDDOWN(E28*INDEX(テーブル!$E$4:$H$8,MATCH(F28,テーブル!$D$4:$D$8,1),MATCH(D28,テーブル!$E$3:$H$3,1)),-2)</f>
        <v>18700</v>
      </c>
    </row>
    <row r="29" spans="1:8">
      <c r="A29" s="7" t="s">
        <v>41</v>
      </c>
      <c r="B29" s="26">
        <v>45249</v>
      </c>
      <c r="C29" s="2">
        <v>62</v>
      </c>
      <c r="D29" s="2">
        <v>22</v>
      </c>
      <c r="E29" s="39">
        <v>1920000</v>
      </c>
      <c r="F29" s="42">
        <f>ROUNDUP(D29/C29,2)</f>
        <v>0.36</v>
      </c>
      <c r="G29" s="32">
        <f>ROUNDDOWN(E29*INDEX(テーブル!$E$4:$H$8,MATCH(F29,テーブル!$D$4:$D$8,1),MATCH(D29,テーブル!$E$3:$H$3,1)),-2)</f>
        <v>30700</v>
      </c>
    </row>
    <row r="30" spans="1:8">
      <c r="A30" s="7"/>
      <c r="B30" s="2"/>
      <c r="C30" s="2"/>
      <c r="D30" s="2"/>
      <c r="E30" s="2"/>
      <c r="F30" s="2"/>
      <c r="G30" s="29"/>
    </row>
    <row r="31" spans="1:8" ht="14.25" thickBot="1">
      <c r="A31" s="33" t="s">
        <v>5</v>
      </c>
      <c r="B31" s="10"/>
      <c r="C31" s="34">
        <f>SUM(C2:C29)</f>
        <v>743</v>
      </c>
      <c r="D31" s="34">
        <f t="shared" ref="D31:G31" si="1">SUM(D2:D29)</f>
        <v>351</v>
      </c>
      <c r="E31" s="34">
        <f t="shared" si="1"/>
        <v>31300000</v>
      </c>
      <c r="F31" s="34"/>
      <c r="G31" s="35">
        <f t="shared" si="1"/>
        <v>346900</v>
      </c>
      <c r="H31" s="45" t="s">
        <v>50</v>
      </c>
    </row>
    <row r="32" spans="1:8">
      <c r="G32" s="19"/>
    </row>
    <row r="33" spans="1:7">
      <c r="G33" s="20"/>
    </row>
    <row r="34" spans="1:7">
      <c r="G34" s="20"/>
    </row>
    <row r="35" spans="1:7">
      <c r="G35" s="20"/>
    </row>
    <row r="36" spans="1:7">
      <c r="A36" t="s">
        <v>18</v>
      </c>
      <c r="G36" s="20"/>
    </row>
    <row r="37" spans="1:7">
      <c r="G37" s="20"/>
    </row>
  </sheetData>
  <phoneticPr fontId="3"/>
  <printOptions headings="1"/>
  <pageMargins left="0.35433070866141736" right="0.15748031496062992" top="0.98425196850393704" bottom="0.62992125984251968" header="0.51181102362204722" footer="0.51181102362204722"/>
  <pageSetup paperSize="9" orientation="landscape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31"/>
  <sheetViews>
    <sheetView zoomScaleNormal="100" workbookViewId="0">
      <selection sqref="A1:J1"/>
    </sheetView>
  </sheetViews>
  <sheetFormatPr defaultRowHeight="13.5"/>
  <cols>
    <col min="1" max="1" width="5.5" bestFit="1" customWidth="1"/>
    <col min="2" max="2" width="11.625" bestFit="1" customWidth="1"/>
    <col min="3" max="4" width="9.5" bestFit="1" customWidth="1"/>
    <col min="5" max="5" width="7.5" bestFit="1" customWidth="1"/>
    <col min="6" max="6" width="11.625" bestFit="1" customWidth="1"/>
    <col min="7" max="7" width="7.5" bestFit="1" customWidth="1"/>
    <col min="8" max="9" width="9.5" bestFit="1" customWidth="1"/>
    <col min="10" max="11" width="10.5" bestFit="1" customWidth="1"/>
    <col min="12" max="12" width="48.25" bestFit="1" customWidth="1"/>
    <col min="13" max="13" width="5.875" customWidth="1"/>
    <col min="14" max="16" width="9.5" bestFit="1" customWidth="1"/>
  </cols>
  <sheetData>
    <row r="1" spans="1:15" ht="14.25" thickBot="1">
      <c r="A1" s="50" t="s">
        <v>23</v>
      </c>
      <c r="B1" s="50"/>
      <c r="C1" s="50"/>
      <c r="D1" s="50"/>
      <c r="E1" s="50"/>
      <c r="F1" s="50"/>
      <c r="G1" s="50"/>
      <c r="H1" s="50"/>
      <c r="I1" s="50"/>
      <c r="J1" s="50"/>
    </row>
    <row r="2" spans="1:15" s="1" customFormat="1">
      <c r="A2" s="4" t="s">
        <v>6</v>
      </c>
      <c r="B2" s="5" t="s">
        <v>0</v>
      </c>
      <c r="C2" s="5" t="s">
        <v>3</v>
      </c>
      <c r="D2" s="5" t="s">
        <v>25</v>
      </c>
      <c r="E2" s="5" t="s">
        <v>10</v>
      </c>
      <c r="F2" s="5" t="s">
        <v>11</v>
      </c>
      <c r="G2" s="5" t="s">
        <v>22</v>
      </c>
      <c r="H2" s="5" t="s">
        <v>14</v>
      </c>
      <c r="I2" s="5" t="s">
        <v>8</v>
      </c>
      <c r="J2" s="21" t="s">
        <v>9</v>
      </c>
      <c r="L2" s="38" t="s">
        <v>53</v>
      </c>
      <c r="M2" s="22">
        <f>DSUM(データＡ表!$A$1:$F$29,6,N5:N6)</f>
        <v>45</v>
      </c>
    </row>
    <row r="3" spans="1:15" ht="14.25" thickBot="1">
      <c r="A3" s="7" t="s">
        <v>31</v>
      </c>
      <c r="B3" s="2" t="str">
        <f>VLOOKUP(A3,テーブル!$J$3:$L$9,2,0)</f>
        <v>若林　進</v>
      </c>
      <c r="C3" s="16">
        <f>SUMPRODUCT((データＡ表!$A$2:$A$29=A3)*1,データＡ表!$E$2:$E$29,データＡ表!$D$2:$D$29)</f>
        <v>34125</v>
      </c>
      <c r="D3" s="16">
        <f>SUMIF(データＡ表!$A$2:$A$29,$A3,データＡ表!$F$2:$F$29)</f>
        <v>12</v>
      </c>
      <c r="E3" s="16">
        <f>SUMIF(データＢ表!$A$2:$A$29,$A3,データＢ表!D$2:D$29)</f>
        <v>33</v>
      </c>
      <c r="F3" s="16">
        <f>SUMIF(データＢ表!$A$2:$A$29,$A3,データＢ表!E$2:E$29)</f>
        <v>3018000</v>
      </c>
      <c r="G3" s="43">
        <f>ROUNDUP(F3/(VLOOKUP(A3,テーブル!$J$3:$L$9,3,0)*10000),3)</f>
        <v>0.97399999999999998</v>
      </c>
      <c r="H3" s="16">
        <f>SUMIF(データＢ表!$A$2:$A$29,$A3,データＢ表!G$2:G$29)</f>
        <v>16600</v>
      </c>
      <c r="I3" s="16">
        <f t="shared" ref="I3:I9" si="0">ROUNDDOWN(IF(OR(D3&gt;=15,G3&gt;=100%),E3*330,0),-3)</f>
        <v>0</v>
      </c>
      <c r="J3" s="8">
        <f>C3+H3+I3</f>
        <v>50725</v>
      </c>
      <c r="L3" s="9" t="s">
        <v>46</v>
      </c>
      <c r="M3" s="15">
        <f>DCOUNT(データＢ表!$A$1:$G$29,3,N7:O8)</f>
        <v>15</v>
      </c>
      <c r="N3" s="45" t="s">
        <v>51</v>
      </c>
    </row>
    <row r="4" spans="1:15" ht="14.25" thickBot="1">
      <c r="A4" s="7" t="s">
        <v>33</v>
      </c>
      <c r="B4" s="2" t="str">
        <f>VLOOKUP(A4,テーブル!$J$3:$L$9,2,0)</f>
        <v>沖本　瞬</v>
      </c>
      <c r="C4" s="16">
        <f>SUMPRODUCT((データＡ表!$A$2:$A$29=A4)*1,データＡ表!$E$2:$E$29,データＡ表!$D$2:$D$29)</f>
        <v>40020</v>
      </c>
      <c r="D4" s="16">
        <f>SUMIF(データＡ表!$A$2:$A$29,$A4,データＡ表!$F$2:$F$29)</f>
        <v>13</v>
      </c>
      <c r="E4" s="16">
        <f>SUMIF(データＢ表!$A$2:$A$29,$A4,データＢ表!D$2:D$29)</f>
        <v>38</v>
      </c>
      <c r="F4" s="16">
        <f>SUMIF(データＢ表!$A$2:$A$29,$A4,データＢ表!E$2:E$29)</f>
        <v>3548000</v>
      </c>
      <c r="G4" s="43">
        <f>ROUNDUP(F4/(VLOOKUP(A4,テーブル!$J$3:$L$9,3,0)*10000),3)</f>
        <v>0.98099999999999998</v>
      </c>
      <c r="H4" s="16">
        <f>SUMIF(データＢ表!$A$2:$A$29,$A4,データＢ表!G$2:G$29)</f>
        <v>30100</v>
      </c>
      <c r="I4" s="16">
        <f t="shared" si="0"/>
        <v>0</v>
      </c>
      <c r="J4" s="8">
        <f t="shared" ref="J4:J9" si="1">C4+H4+I4</f>
        <v>70120</v>
      </c>
      <c r="N4" s="14"/>
    </row>
    <row r="5" spans="1:15">
      <c r="A5" s="7" t="s">
        <v>34</v>
      </c>
      <c r="B5" s="2" t="str">
        <f>VLOOKUP(A5,テーブル!$J$3:$L$9,2,0)</f>
        <v>山形　あい</v>
      </c>
      <c r="C5" s="16">
        <f>SUMPRODUCT((データＡ表!$A$2:$A$29=A5)*1,データＡ表!$E$2:$E$29,データＡ表!$D$2:$D$29)</f>
        <v>57250</v>
      </c>
      <c r="D5" s="16">
        <f>SUMIF(データＡ表!$A$2:$A$29,$A5,データＡ表!$F$2:$F$29)</f>
        <v>18</v>
      </c>
      <c r="E5" s="16">
        <f>SUMIF(データＢ表!$A$2:$A$29,$A5,データＢ表!D$2:D$29)</f>
        <v>43</v>
      </c>
      <c r="F5" s="16">
        <f>SUMIF(データＢ表!$A$2:$A$29,$A5,データＢ表!E$2:E$29)</f>
        <v>3850000</v>
      </c>
      <c r="G5" s="43">
        <f>ROUNDUP(F5/(VLOOKUP(A5,テーブル!$J$3:$L$9,3,0)*10000),3)</f>
        <v>1.0139999999999998</v>
      </c>
      <c r="H5" s="16">
        <f>SUMIF(データＢ表!$A$2:$A$29,$A5,データＢ表!G$2:G$29)</f>
        <v>24800</v>
      </c>
      <c r="I5" s="16">
        <f t="shared" si="0"/>
        <v>14000</v>
      </c>
      <c r="J5" s="8">
        <f t="shared" si="1"/>
        <v>96050</v>
      </c>
      <c r="L5" s="14"/>
      <c r="N5" s="12" t="s">
        <v>24</v>
      </c>
      <c r="O5" s="1"/>
    </row>
    <row r="6" spans="1:15" ht="14.25" thickBot="1">
      <c r="A6" s="7" t="s">
        <v>36</v>
      </c>
      <c r="B6" s="2" t="str">
        <f>VLOOKUP(A6,テーブル!$J$3:$L$9,2,0)</f>
        <v>池田　治</v>
      </c>
      <c r="C6" s="16">
        <f>SUMPRODUCT((データＡ表!$A$2:$A$29=A6)*1,データＡ表!$E$2:$E$29,データＡ表!$D$2:$D$29)</f>
        <v>46095</v>
      </c>
      <c r="D6" s="16">
        <f>SUMIF(データＡ表!$A$2:$A$29,$A6,データＡ表!$F$2:$F$29)</f>
        <v>17</v>
      </c>
      <c r="E6" s="16">
        <f>SUMIF(データＢ表!$A$2:$A$29,$A6,データＢ表!D$2:D$29)</f>
        <v>55</v>
      </c>
      <c r="F6" s="16">
        <f>SUMIF(データＢ表!$A$2:$A$29,$A6,データＢ表!E$2:E$29)</f>
        <v>4822000</v>
      </c>
      <c r="G6" s="43">
        <f>ROUNDUP(F6/(VLOOKUP(A6,テーブル!$J$3:$L$9,3,0)*10000),3)</f>
        <v>1.0009999999999999</v>
      </c>
      <c r="H6" s="16">
        <f>SUMIF(データＢ表!$A$2:$A$29,$A6,データＢ表!G$2:G$29)</f>
        <v>54800</v>
      </c>
      <c r="I6" s="16">
        <f t="shared" si="0"/>
        <v>18000</v>
      </c>
      <c r="J6" s="8">
        <f t="shared" si="1"/>
        <v>118895</v>
      </c>
      <c r="L6" s="14"/>
      <c r="N6" s="40" t="s">
        <v>54</v>
      </c>
      <c r="O6" s="14"/>
    </row>
    <row r="7" spans="1:15">
      <c r="A7" s="7" t="s">
        <v>41</v>
      </c>
      <c r="B7" s="2" t="str">
        <f>VLOOKUP(A7,テーブル!$J$3:$L$9,2,0)</f>
        <v>大月　花子</v>
      </c>
      <c r="C7" s="16">
        <f>SUMPRODUCT((データＡ表!$A$2:$A$29=A7)*1,データＡ表!$E$2:$E$29,データＡ表!$D$2:$D$29)</f>
        <v>45195</v>
      </c>
      <c r="D7" s="16">
        <f>SUMIF(データＡ表!$A$2:$A$29,$A7,データＡ表!$F$2:$F$29)</f>
        <v>15</v>
      </c>
      <c r="E7" s="16">
        <f>SUMIF(データＢ表!$A$2:$A$29,$A7,データＢ表!D$2:D$29)</f>
        <v>60</v>
      </c>
      <c r="F7" s="16">
        <f>SUMIF(データＢ表!$A$2:$A$29,$A7,データＢ表!E$2:E$29)</f>
        <v>5104000</v>
      </c>
      <c r="G7" s="43">
        <f>ROUNDUP(F7/(VLOOKUP(A7,テーブル!$J$3:$L$9,3,0)*10000),3)</f>
        <v>1.0209999999999999</v>
      </c>
      <c r="H7" s="16">
        <f>SUMIF(データＢ表!$A$2:$A$29,$A7,データＢ表!G$2:G$29)</f>
        <v>62800</v>
      </c>
      <c r="I7" s="16">
        <f t="shared" si="0"/>
        <v>19000</v>
      </c>
      <c r="J7" s="8">
        <f t="shared" si="1"/>
        <v>126995</v>
      </c>
      <c r="L7" s="14"/>
      <c r="N7" s="4" t="s">
        <v>12</v>
      </c>
      <c r="O7" s="6" t="s">
        <v>14</v>
      </c>
    </row>
    <row r="8" spans="1:15" ht="14.25" thickBot="1">
      <c r="A8" s="7" t="s">
        <v>32</v>
      </c>
      <c r="B8" s="2" t="str">
        <f>VLOOKUP(A8,テーブル!$J$3:$L$9,2,0)</f>
        <v>川村　美月</v>
      </c>
      <c r="C8" s="16">
        <f>SUMPRODUCT((データＡ表!$A$2:$A$29=A8)*1,データＡ表!$E$2:$E$29,データＡ表!$D$2:$D$29)</f>
        <v>46625</v>
      </c>
      <c r="D8" s="16">
        <f>SUMIF(データＡ表!$A$2:$A$29,$A8,データＡ表!$F$2:$F$29)</f>
        <v>14</v>
      </c>
      <c r="E8" s="16">
        <f>SUMIF(データＢ表!$A$2:$A$29,$A8,データＢ表!D$2:D$29)</f>
        <v>56</v>
      </c>
      <c r="F8" s="16">
        <f>SUMIF(データＢ表!$A$2:$A$29,$A8,データＢ表!E$2:E$29)</f>
        <v>5140000</v>
      </c>
      <c r="G8" s="43">
        <f>ROUNDUP(F8/(VLOOKUP(A8,テーブル!$J$3:$L$9,3,0)*10000),3)</f>
        <v>1.0329999999999999</v>
      </c>
      <c r="H8" s="16">
        <f>SUMIF(データＢ表!$A$2:$A$29,$A8,データＢ表!G$2:G$29)</f>
        <v>70600</v>
      </c>
      <c r="I8" s="16">
        <f t="shared" si="0"/>
        <v>18000</v>
      </c>
      <c r="J8" s="8">
        <f t="shared" si="1"/>
        <v>135225</v>
      </c>
      <c r="N8" s="9" t="s">
        <v>43</v>
      </c>
      <c r="O8" s="24" t="s">
        <v>45</v>
      </c>
    </row>
    <row r="9" spans="1:15">
      <c r="A9" s="7" t="s">
        <v>35</v>
      </c>
      <c r="B9" s="2" t="str">
        <f>VLOOKUP(A9,テーブル!$J$3:$L$9,2,0)</f>
        <v>小森　広</v>
      </c>
      <c r="C9" s="16">
        <f>SUMPRODUCT((データＡ表!$A$2:$A$29=A9)*1,データＡ表!$E$2:$E$29,データＡ表!$D$2:$D$29)</f>
        <v>54625</v>
      </c>
      <c r="D9" s="16">
        <f>SUMIF(データＡ表!$A$2:$A$29,$A9,データＡ表!$F$2:$F$29)</f>
        <v>19</v>
      </c>
      <c r="E9" s="16">
        <f>SUMIF(データＢ表!$A$2:$A$29,$A9,データＢ表!D$2:D$29)</f>
        <v>66</v>
      </c>
      <c r="F9" s="16">
        <f>SUMIF(データＢ表!$A$2:$A$29,$A9,データＢ表!E$2:E$29)</f>
        <v>5818000</v>
      </c>
      <c r="G9" s="43">
        <f>ROUNDUP(F9/(VLOOKUP(A9,テーブル!$J$3:$L$9,3,0)*10000),3)</f>
        <v>1</v>
      </c>
      <c r="H9" s="16">
        <f>SUMIF(データＢ表!$A$2:$A$29,$A9,データＢ表!G$2:G$29)</f>
        <v>87200</v>
      </c>
      <c r="I9" s="16">
        <f t="shared" si="0"/>
        <v>21000</v>
      </c>
      <c r="J9" s="8">
        <f t="shared" si="1"/>
        <v>162825</v>
      </c>
    </row>
    <row r="10" spans="1:15">
      <c r="A10" s="7"/>
      <c r="B10" s="2"/>
      <c r="C10" s="16"/>
      <c r="D10" s="16"/>
      <c r="E10" s="16"/>
      <c r="F10" s="16"/>
      <c r="G10" s="16"/>
      <c r="H10" s="16"/>
      <c r="I10" s="16"/>
      <c r="J10" s="8"/>
    </row>
    <row r="11" spans="1:15" ht="14.25" thickBot="1">
      <c r="A11" s="9"/>
      <c r="B11" s="10" t="s">
        <v>5</v>
      </c>
      <c r="C11" s="11">
        <f>SUM(C3:C9)</f>
        <v>323935</v>
      </c>
      <c r="D11" s="11">
        <f t="shared" ref="D11:J11" si="2">SUM(D3:D9)</f>
        <v>108</v>
      </c>
      <c r="E11" s="11">
        <f t="shared" si="2"/>
        <v>351</v>
      </c>
      <c r="F11" s="11">
        <f t="shared" si="2"/>
        <v>31300000</v>
      </c>
      <c r="G11" s="11"/>
      <c r="H11" s="11">
        <f t="shared" si="2"/>
        <v>346900</v>
      </c>
      <c r="I11" s="11">
        <f t="shared" si="2"/>
        <v>90000</v>
      </c>
      <c r="J11" s="18">
        <f t="shared" si="2"/>
        <v>760835</v>
      </c>
      <c r="K11" s="45" t="s">
        <v>50</v>
      </c>
    </row>
    <row r="13" spans="1:15">
      <c r="L13" s="17"/>
    </row>
    <row r="14" spans="1:15">
      <c r="L14" s="17"/>
    </row>
    <row r="15" spans="1:15">
      <c r="L15" s="17"/>
    </row>
    <row r="16" spans="1:15">
      <c r="G16" s="17"/>
      <c r="H16" s="17"/>
      <c r="I16" s="17"/>
      <c r="J16" s="17"/>
    </row>
    <row r="17" spans="4:16">
      <c r="F17" s="17"/>
      <c r="G17" s="17"/>
      <c r="H17" s="17"/>
      <c r="I17" s="17"/>
      <c r="J17" s="17"/>
      <c r="K17" s="17"/>
    </row>
    <row r="18" spans="4:16">
      <c r="F18" s="17"/>
      <c r="G18" s="17"/>
      <c r="H18" s="17"/>
      <c r="I18" s="17"/>
      <c r="J18" s="17"/>
      <c r="K18" s="17"/>
    </row>
    <row r="19" spans="4:16">
      <c r="F19" s="17"/>
      <c r="G19" s="17"/>
      <c r="H19" s="17"/>
      <c r="I19" s="17"/>
      <c r="J19" s="17"/>
      <c r="K19" s="17"/>
    </row>
    <row r="20" spans="4:16">
      <c r="F20" s="17"/>
    </row>
    <row r="21" spans="4:16">
      <c r="F21" s="17"/>
    </row>
    <row r="22" spans="4:16">
      <c r="F22" s="17"/>
    </row>
    <row r="23" spans="4:16">
      <c r="F23" s="17"/>
    </row>
    <row r="24" spans="4:16">
      <c r="D24" s="13"/>
      <c r="E24" s="13"/>
      <c r="F24" s="13"/>
    </row>
    <row r="25" spans="4:16">
      <c r="D25" s="13"/>
      <c r="E25" s="13"/>
      <c r="F25" s="13"/>
    </row>
    <row r="31" spans="4:16">
      <c r="P31" s="45" t="s">
        <v>52</v>
      </c>
    </row>
  </sheetData>
  <sortState xmlns:xlrd2="http://schemas.microsoft.com/office/spreadsheetml/2017/richdata2" ref="A3:J9">
    <sortCondition ref="F4:F9"/>
  </sortState>
  <mergeCells count="1">
    <mergeCell ref="A1:J1"/>
  </mergeCells>
  <phoneticPr fontId="3"/>
  <printOptions headings="1"/>
  <pageMargins left="0.35433070866141736" right="0.15748031496062992" top="0.98425196850393704" bottom="0.62992125984251968" header="0.51181102362204722" footer="0.51181102362204722"/>
  <pageSetup paperSize="9" orientation="landscape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テーブル</vt:lpstr>
      <vt:lpstr>データＡ表</vt:lpstr>
      <vt:lpstr>データＢ表</vt:lpstr>
      <vt:lpstr>計算表</vt:lpstr>
    </vt:vector>
  </TitlesOfParts>
  <Company>日本情報処理検定協会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日本情報処理検定協会</dc:creator>
  <cp:lastModifiedBy>日本情報処理検定協会(M.N)</cp:lastModifiedBy>
  <cp:lastPrinted>2022-07-24T09:50:19Z</cp:lastPrinted>
  <dcterms:created xsi:type="dcterms:W3CDTF">2008-12-24T06:30:48Z</dcterms:created>
  <dcterms:modified xsi:type="dcterms:W3CDTF">2023-07-25T02:57:43Z</dcterms:modified>
</cp:coreProperties>
</file>