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r01\問題制作フォルダー\01_検定問題\1表計算\2023(令和05)年度\02_10月検定\"/>
    </mc:Choice>
  </mc:AlternateContent>
  <xr:revisionPtr revIDLastSave="0" documentId="13_ncr:1_{DBCE7FE6-D6C3-45CA-ADF3-1C78CADB26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テーブル" sheetId="1" r:id="rId1"/>
    <sheet name="前期" sheetId="3" r:id="rId2"/>
    <sheet name="後期" sheetId="5" r:id="rId3"/>
    <sheet name="計算表" sheetId="4" r:id="rId4"/>
  </sheets>
  <calcPr calcId="181029"/>
</workbook>
</file>

<file path=xl/calcChain.xml><?xml version="1.0" encoding="utf-8"?>
<calcChain xmlns="http://schemas.openxmlformats.org/spreadsheetml/2006/main">
  <c r="H3" i="5" l="1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2" i="5"/>
  <c r="H23" i="5"/>
  <c r="H24" i="5"/>
  <c r="H25" i="5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" i="5"/>
  <c r="H2" i="3"/>
  <c r="M4" i="4"/>
  <c r="M5" i="4"/>
  <c r="L7" i="4"/>
  <c r="L6" i="4"/>
  <c r="M7" i="4"/>
  <c r="M6" i="4"/>
  <c r="L4" i="4"/>
  <c r="L5" i="4"/>
  <c r="K5" i="4"/>
  <c r="K7" i="4"/>
  <c r="K6" i="4"/>
  <c r="K4" i="4"/>
  <c r="J5" i="4"/>
  <c r="I7" i="4"/>
  <c r="I6" i="4"/>
  <c r="J7" i="4"/>
  <c r="J6" i="4"/>
  <c r="I4" i="4"/>
  <c r="I5" i="4"/>
  <c r="J4" i="4"/>
  <c r="H5" i="4"/>
  <c r="H7" i="4"/>
  <c r="H6" i="4"/>
  <c r="H4" i="4"/>
  <c r="B2" i="3" l="1"/>
  <c r="D2" i="3"/>
  <c r="F2" i="3"/>
  <c r="G2" i="3" s="1"/>
  <c r="B3" i="3"/>
  <c r="D3" i="3"/>
  <c r="F3" i="3"/>
  <c r="G3" i="3" s="1"/>
  <c r="B4" i="3"/>
  <c r="D4" i="3"/>
  <c r="F4" i="3"/>
  <c r="G4" i="3" s="1"/>
  <c r="B5" i="3"/>
  <c r="D5" i="3"/>
  <c r="F5" i="3"/>
  <c r="G5" i="3"/>
  <c r="B6" i="3"/>
  <c r="D6" i="3"/>
  <c r="F6" i="3"/>
  <c r="G6" i="3" s="1"/>
  <c r="B7" i="3"/>
  <c r="D7" i="3"/>
  <c r="F7" i="3"/>
  <c r="G7" i="3" s="1"/>
  <c r="B8" i="3"/>
  <c r="D8" i="3"/>
  <c r="F8" i="3"/>
  <c r="G8" i="3" s="1"/>
  <c r="B9" i="3"/>
  <c r="D9" i="3"/>
  <c r="F9" i="3"/>
  <c r="G9" i="3"/>
  <c r="B10" i="3"/>
  <c r="D10" i="3"/>
  <c r="F10" i="3"/>
  <c r="G10" i="3" s="1"/>
  <c r="B11" i="3"/>
  <c r="D11" i="3"/>
  <c r="F11" i="3"/>
  <c r="G11" i="3"/>
  <c r="B12" i="3"/>
  <c r="D12" i="3"/>
  <c r="F12" i="3"/>
  <c r="G12" i="3" s="1"/>
  <c r="B13" i="3"/>
  <c r="D13" i="3"/>
  <c r="F13" i="3"/>
  <c r="G13" i="3" s="1"/>
  <c r="B14" i="3"/>
  <c r="D14" i="3"/>
  <c r="F14" i="3"/>
  <c r="G14" i="3" s="1"/>
  <c r="B15" i="3"/>
  <c r="D15" i="3"/>
  <c r="F15" i="3"/>
  <c r="G15" i="3"/>
  <c r="B16" i="3"/>
  <c r="D16" i="3"/>
  <c r="F16" i="3"/>
  <c r="G16" i="3" s="1"/>
  <c r="B17" i="3"/>
  <c r="D17" i="3"/>
  <c r="F17" i="3"/>
  <c r="G17" i="3"/>
  <c r="B18" i="3"/>
  <c r="D18" i="3"/>
  <c r="F18" i="3"/>
  <c r="G18" i="3" s="1"/>
  <c r="B19" i="3"/>
  <c r="D19" i="3"/>
  <c r="F19" i="3"/>
  <c r="G19" i="3" s="1"/>
  <c r="B20" i="3"/>
  <c r="D20" i="3"/>
  <c r="F20" i="3"/>
  <c r="G20" i="3" s="1"/>
  <c r="B21" i="3"/>
  <c r="D21" i="3"/>
  <c r="F21" i="3"/>
  <c r="G21" i="3"/>
  <c r="B22" i="3"/>
  <c r="D22" i="3"/>
  <c r="F22" i="3"/>
  <c r="G22" i="3" s="1"/>
  <c r="B23" i="3"/>
  <c r="D23" i="3"/>
  <c r="F23" i="3"/>
  <c r="G23" i="3"/>
  <c r="B24" i="3"/>
  <c r="D24" i="3"/>
  <c r="F24" i="3"/>
  <c r="G24" i="3" s="1"/>
  <c r="B25" i="3"/>
  <c r="D25" i="3"/>
  <c r="F25" i="3"/>
  <c r="G25" i="3" s="1"/>
  <c r="E27" i="3"/>
  <c r="G5" i="4"/>
  <c r="F3" i="5"/>
  <c r="G3" i="5" s="1"/>
  <c r="F4" i="5"/>
  <c r="G4" i="5" s="1"/>
  <c r="F5" i="5"/>
  <c r="G5" i="5" s="1"/>
  <c r="F6" i="5"/>
  <c r="G6" i="5" s="1"/>
  <c r="F7" i="5"/>
  <c r="G7" i="5" s="1"/>
  <c r="F8" i="5"/>
  <c r="G8" i="5" s="1"/>
  <c r="F9" i="5"/>
  <c r="G9" i="5" s="1"/>
  <c r="F10" i="5"/>
  <c r="G10" i="5" s="1"/>
  <c r="F11" i="5"/>
  <c r="G11" i="5" s="1"/>
  <c r="F12" i="5"/>
  <c r="G12" i="5" s="1"/>
  <c r="F13" i="5"/>
  <c r="G13" i="5" s="1"/>
  <c r="F14" i="5"/>
  <c r="G14" i="5" s="1"/>
  <c r="F15" i="5"/>
  <c r="G15" i="5" s="1"/>
  <c r="F16" i="5"/>
  <c r="G16" i="5" s="1"/>
  <c r="F17" i="5"/>
  <c r="G17" i="5" s="1"/>
  <c r="F18" i="5"/>
  <c r="G18" i="5" s="1"/>
  <c r="F19" i="5"/>
  <c r="G19" i="5" s="1"/>
  <c r="F20" i="5"/>
  <c r="G20" i="5" s="1"/>
  <c r="F21" i="5"/>
  <c r="G21" i="5" s="1"/>
  <c r="F22" i="5"/>
  <c r="G22" i="5" s="1"/>
  <c r="F23" i="5"/>
  <c r="G23" i="5" s="1"/>
  <c r="F24" i="5"/>
  <c r="G24" i="5" s="1"/>
  <c r="F25" i="5"/>
  <c r="G25" i="5" s="1"/>
  <c r="F2" i="5"/>
  <c r="G2" i="5" s="1"/>
  <c r="G7" i="4"/>
  <c r="G6" i="4"/>
  <c r="G4" i="4"/>
  <c r="D3" i="5"/>
  <c r="D4" i="5"/>
  <c r="D5" i="5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" i="5"/>
  <c r="G27" i="3" l="1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E27" i="5"/>
  <c r="B3" i="5"/>
  <c r="B4" i="5"/>
  <c r="B5" i="5"/>
  <c r="B6" i="5"/>
  <c r="B7" i="5"/>
  <c r="B8" i="5"/>
  <c r="B9" i="5"/>
  <c r="B10" i="5"/>
  <c r="B11" i="5"/>
  <c r="B12" i="5"/>
  <c r="B2" i="5"/>
  <c r="H27" i="3" l="1"/>
  <c r="K9" i="4"/>
  <c r="L9" i="4"/>
  <c r="M9" i="4"/>
  <c r="B8" i="4" l="1"/>
  <c r="B6" i="4"/>
  <c r="B7" i="4"/>
  <c r="B5" i="4"/>
  <c r="D7" i="4"/>
  <c r="C7" i="4"/>
  <c r="D6" i="4"/>
  <c r="C6" i="4"/>
  <c r="D8" i="4"/>
  <c r="C8" i="4"/>
  <c r="B4" i="4"/>
  <c r="B3" i="4"/>
  <c r="C5" i="4"/>
  <c r="D4" i="4"/>
  <c r="N4" i="4" l="1"/>
  <c r="B10" i="4"/>
  <c r="P4" i="4"/>
  <c r="N6" i="4"/>
  <c r="N7" i="4"/>
  <c r="N5" i="4"/>
  <c r="H9" i="4"/>
  <c r="O4" i="4"/>
  <c r="O5" i="4"/>
  <c r="P5" i="4"/>
  <c r="G27" i="5"/>
  <c r="H27" i="5"/>
  <c r="C4" i="4"/>
  <c r="C3" i="4"/>
  <c r="Q5" i="4" l="1"/>
  <c r="R5" i="4" s="1"/>
  <c r="Q4" i="4"/>
  <c r="R4" i="4" s="1"/>
  <c r="O6" i="4"/>
  <c r="I9" i="4"/>
  <c r="O7" i="4"/>
  <c r="D5" i="4"/>
  <c r="N9" i="4"/>
  <c r="P7" i="4"/>
  <c r="C10" i="4"/>
  <c r="D3" i="4"/>
  <c r="S5" i="4" l="1"/>
  <c r="Q6" i="4"/>
  <c r="R6" i="4" s="1"/>
  <c r="Q7" i="4"/>
  <c r="R7" i="4" s="1"/>
  <c r="S4" i="4"/>
  <c r="D10" i="4"/>
  <c r="O9" i="4"/>
  <c r="P6" i="4"/>
  <c r="P9" i="4" s="1"/>
  <c r="J9" i="4"/>
  <c r="S7" i="4" l="1"/>
  <c r="S6" i="4"/>
  <c r="T7" i="4" l="1"/>
  <c r="T6" i="4"/>
  <c r="T5" i="4"/>
  <c r="S9" i="4"/>
  <c r="T4" i="4"/>
  <c r="R9" i="4"/>
</calcChain>
</file>

<file path=xl/sharedStrings.xml><?xml version="1.0" encoding="utf-8"?>
<sst xmlns="http://schemas.openxmlformats.org/spreadsheetml/2006/main" count="95" uniqueCount="39">
  <si>
    <t>合　計</t>
    <rPh sb="0" eb="1">
      <t>ア</t>
    </rPh>
    <rPh sb="2" eb="3">
      <t>ケイ</t>
    </rPh>
    <phoneticPr fontId="5"/>
  </si>
  <si>
    <t>合　計</t>
    <phoneticPr fontId="2"/>
  </si>
  <si>
    <t>＜商品テーブル＞</t>
    <rPh sb="1" eb="3">
      <t>ショウヒン</t>
    </rPh>
    <phoneticPr fontId="2"/>
  </si>
  <si>
    <t>商ＣＯ</t>
    <rPh sb="0" eb="1">
      <t>ショウ</t>
    </rPh>
    <phoneticPr fontId="2"/>
  </si>
  <si>
    <t>商品名</t>
    <rPh sb="0" eb="3">
      <t>ショウヒンメイ</t>
    </rPh>
    <phoneticPr fontId="2"/>
  </si>
  <si>
    <t>＜販売先テーブル＞</t>
    <rPh sb="1" eb="3">
      <t>ハンバイ</t>
    </rPh>
    <phoneticPr fontId="2"/>
  </si>
  <si>
    <t>販ＣＯ</t>
    <rPh sb="0" eb="1">
      <t>ハン</t>
    </rPh>
    <phoneticPr fontId="2"/>
  </si>
  <si>
    <t>販売先名</t>
    <rPh sb="0" eb="2">
      <t>ハンバイ</t>
    </rPh>
    <rPh sb="2" eb="3">
      <t>サキ</t>
    </rPh>
    <rPh sb="3" eb="4">
      <t>メイ</t>
    </rPh>
    <phoneticPr fontId="2"/>
  </si>
  <si>
    <t>販売数</t>
    <rPh sb="0" eb="2">
      <t>ハンバイ</t>
    </rPh>
    <rPh sb="2" eb="3">
      <t>スウ</t>
    </rPh>
    <phoneticPr fontId="2"/>
  </si>
  <si>
    <t>販売額</t>
    <rPh sb="0" eb="2">
      <t>ハンバイ</t>
    </rPh>
    <rPh sb="2" eb="3">
      <t>ガク</t>
    </rPh>
    <phoneticPr fontId="2"/>
  </si>
  <si>
    <t>定価</t>
    <rPh sb="0" eb="2">
      <t>テイカ</t>
    </rPh>
    <phoneticPr fontId="2"/>
  </si>
  <si>
    <t>判定</t>
    <rPh sb="0" eb="2">
      <t>ハンテイ</t>
    </rPh>
    <phoneticPr fontId="2"/>
  </si>
  <si>
    <t>商品別集計表</t>
    <rPh sb="0" eb="2">
      <t>ショウヒン</t>
    </rPh>
    <rPh sb="2" eb="3">
      <t>ベツ</t>
    </rPh>
    <rPh sb="3" eb="5">
      <t>シュウケイ</t>
    </rPh>
    <rPh sb="5" eb="6">
      <t>オモテ</t>
    </rPh>
    <phoneticPr fontId="2"/>
  </si>
  <si>
    <t>請求額</t>
    <rPh sb="0" eb="2">
      <t>セイキュウ</t>
    </rPh>
    <rPh sb="2" eb="3">
      <t>ガク</t>
    </rPh>
    <phoneticPr fontId="2"/>
  </si>
  <si>
    <t>割引額</t>
    <rPh sb="0" eb="2">
      <t>ワリビキ</t>
    </rPh>
    <rPh sb="2" eb="3">
      <t>ガク</t>
    </rPh>
    <phoneticPr fontId="2"/>
  </si>
  <si>
    <t>販　売　先　別　請　求　額　計　算　表</t>
    <rPh sb="0" eb="1">
      <t>ハン</t>
    </rPh>
    <rPh sb="2" eb="3">
      <t>バイ</t>
    </rPh>
    <rPh sb="4" eb="5">
      <t>サキ</t>
    </rPh>
    <rPh sb="6" eb="7">
      <t>ベツ</t>
    </rPh>
    <rPh sb="8" eb="9">
      <t>ショウ</t>
    </rPh>
    <rPh sb="10" eb="11">
      <t>モトム</t>
    </rPh>
    <rPh sb="12" eb="13">
      <t>ガク</t>
    </rPh>
    <rPh sb="14" eb="15">
      <t>ケイ</t>
    </rPh>
    <rPh sb="16" eb="17">
      <t>サン</t>
    </rPh>
    <rPh sb="18" eb="19">
      <t>ヒョウ</t>
    </rPh>
    <phoneticPr fontId="2"/>
  </si>
  <si>
    <t>販売額</t>
    <rPh sb="0" eb="3">
      <t>ハンバイガク</t>
    </rPh>
    <phoneticPr fontId="2"/>
  </si>
  <si>
    <t>前月比</t>
    <rPh sb="0" eb="3">
      <t>ゼンゲツヒ</t>
    </rPh>
    <phoneticPr fontId="2"/>
  </si>
  <si>
    <t>前月販売額</t>
    <rPh sb="0" eb="2">
      <t>ゼンゲツ</t>
    </rPh>
    <rPh sb="2" eb="5">
      <t>ハンバイガク</t>
    </rPh>
    <phoneticPr fontId="2"/>
  </si>
  <si>
    <t>Ａ商品</t>
    <rPh sb="1" eb="3">
      <t>ショウヒン</t>
    </rPh>
    <phoneticPr fontId="2"/>
  </si>
  <si>
    <t>Ｂ商品</t>
    <rPh sb="1" eb="3">
      <t>ショウヒン</t>
    </rPh>
    <phoneticPr fontId="2"/>
  </si>
  <si>
    <t>Ｃ商品</t>
    <rPh sb="1" eb="3">
      <t>ショウヒン</t>
    </rPh>
    <phoneticPr fontId="2"/>
  </si>
  <si>
    <t>Ｄ商品</t>
    <rPh sb="1" eb="3">
      <t>ショウヒン</t>
    </rPh>
    <phoneticPr fontId="2"/>
  </si>
  <si>
    <t>Ｅ商品</t>
    <rPh sb="1" eb="3">
      <t>ショウヒン</t>
    </rPh>
    <phoneticPr fontId="2"/>
  </si>
  <si>
    <t>Ｆ商品</t>
    <rPh sb="1" eb="3">
      <t>ショウヒン</t>
    </rPh>
    <phoneticPr fontId="2"/>
  </si>
  <si>
    <t>＜値引率表＞</t>
    <rPh sb="1" eb="3">
      <t>ネビキ</t>
    </rPh>
    <rPh sb="3" eb="4">
      <t>リツ</t>
    </rPh>
    <rPh sb="4" eb="5">
      <t>ヒョウ</t>
    </rPh>
    <phoneticPr fontId="2"/>
  </si>
  <si>
    <t>売価</t>
    <rPh sb="0" eb="2">
      <t>バイカ</t>
    </rPh>
    <phoneticPr fontId="2"/>
  </si>
  <si>
    <t>商ＣＯの下１桁</t>
    <rPh sb="0" eb="1">
      <t>ショウ</t>
    </rPh>
    <rPh sb="4" eb="5">
      <t>シモ</t>
    </rPh>
    <rPh sb="6" eb="7">
      <t>ケタ</t>
    </rPh>
    <phoneticPr fontId="2"/>
  </si>
  <si>
    <t>小野田電機</t>
    <rPh sb="0" eb="3">
      <t>オノダ</t>
    </rPh>
    <rPh sb="3" eb="5">
      <t>デンキ</t>
    </rPh>
    <phoneticPr fontId="2"/>
  </si>
  <si>
    <t>サクラ堂</t>
    <rPh sb="3" eb="4">
      <t>ドウ</t>
    </rPh>
    <phoneticPr fontId="2"/>
  </si>
  <si>
    <t>ＡＢカメラ</t>
    <phoneticPr fontId="2"/>
  </si>
  <si>
    <t>大川百貨店</t>
    <rPh sb="0" eb="2">
      <t>オオカワ</t>
    </rPh>
    <rPh sb="2" eb="5">
      <t>ヒャッカテン</t>
    </rPh>
    <phoneticPr fontId="2"/>
  </si>
  <si>
    <t>＜手数料率表＞</t>
    <rPh sb="1" eb="4">
      <t>テスウリョウ</t>
    </rPh>
    <rPh sb="4" eb="5">
      <t>リツ</t>
    </rPh>
    <rPh sb="5" eb="6">
      <t>ヒョウ</t>
    </rPh>
    <phoneticPr fontId="2"/>
  </si>
  <si>
    <t>手数料</t>
    <rPh sb="0" eb="3">
      <t>テスウリョウ</t>
    </rPh>
    <phoneticPr fontId="2"/>
  </si>
  <si>
    <t>前期</t>
    <rPh sb="0" eb="2">
      <t>ゼンキ</t>
    </rPh>
    <phoneticPr fontId="2"/>
  </si>
  <si>
    <t>後期</t>
    <rPh sb="0" eb="2">
      <t>コウキ</t>
    </rPh>
    <phoneticPr fontId="2"/>
  </si>
  <si>
    <t>全期間</t>
    <rPh sb="0" eb="3">
      <t>ゼンキカン</t>
    </rPh>
    <phoneticPr fontId="2"/>
  </si>
  <si>
    <t>【100点】</t>
    <rPh sb="4" eb="5">
      <t>テン</t>
    </rPh>
    <phoneticPr fontId="9"/>
  </si>
  <si>
    <t>グラフ【20点】</t>
    <rPh sb="6" eb="7">
      <t>テン</t>
    </rPh>
    <phoneticPr fontId="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</si>
</sst>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0"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10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ＭＳ 明朝"/>
      <family val="2"/>
      <charset val="12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9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6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3" xfId="0" applyFont="1" applyBorder="1">
      <alignment vertical="center"/>
    </xf>
    <xf numFmtId="0" fontId="4" fillId="0" borderId="2" xfId="0" applyFont="1" applyBorder="1">
      <alignment vertical="center"/>
    </xf>
    <xf numFmtId="38" fontId="4" fillId="0" borderId="4" xfId="2" applyFont="1" applyBorder="1">
      <alignment vertical="center"/>
    </xf>
    <xf numFmtId="38" fontId="4" fillId="0" borderId="2" xfId="2" applyFont="1" applyBorder="1">
      <alignment vertical="center"/>
    </xf>
    <xf numFmtId="0" fontId="4" fillId="0" borderId="4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38" fontId="4" fillId="0" borderId="6" xfId="0" applyNumberFormat="1" applyFont="1" applyBorder="1">
      <alignment vertical="center"/>
    </xf>
    <xf numFmtId="0" fontId="4" fillId="0" borderId="8" xfId="0" applyFont="1" applyBorder="1">
      <alignment vertical="center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>
      <alignment vertical="center"/>
    </xf>
    <xf numFmtId="0" fontId="4" fillId="0" borderId="0" xfId="0" applyFont="1" applyAlignment="1">
      <alignment horizontal="center" vertical="center"/>
    </xf>
    <xf numFmtId="0" fontId="0" fillId="0" borderId="11" xfId="0" applyBorder="1" applyAlignment="1">
      <alignment horizontal="center" vertical="center"/>
    </xf>
    <xf numFmtId="38" fontId="4" fillId="0" borderId="0" xfId="0" applyNumberFormat="1" applyFont="1">
      <alignment vertical="center"/>
    </xf>
    <xf numFmtId="0" fontId="0" fillId="0" borderId="8" xfId="0" applyBorder="1">
      <alignment vertical="center"/>
    </xf>
    <xf numFmtId="0" fontId="7" fillId="0" borderId="0" xfId="0" applyFont="1">
      <alignment vertical="center"/>
    </xf>
    <xf numFmtId="0" fontId="6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9" fontId="4" fillId="0" borderId="2" xfId="0" applyNumberFormat="1" applyFont="1" applyBorder="1">
      <alignment vertical="center"/>
    </xf>
    <xf numFmtId="0" fontId="6" fillId="0" borderId="2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4" fillId="0" borderId="5" xfId="0" applyFont="1" applyBorder="1" applyAlignment="1">
      <alignment horizontal="center" vertical="center"/>
    </xf>
    <xf numFmtId="38" fontId="4" fillId="0" borderId="7" xfId="0" applyNumberFormat="1" applyFont="1" applyBorder="1">
      <alignment vertical="center"/>
    </xf>
    <xf numFmtId="0" fontId="6" fillId="0" borderId="2" xfId="0" applyFont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38" fontId="6" fillId="0" borderId="2" xfId="0" applyNumberFormat="1" applyFont="1" applyBorder="1" applyAlignment="1">
      <alignment horizontal="right" vertical="center"/>
    </xf>
    <xf numFmtId="38" fontId="6" fillId="0" borderId="2" xfId="2" applyFont="1" applyFill="1" applyBorder="1">
      <alignment vertical="center"/>
    </xf>
    <xf numFmtId="38" fontId="4" fillId="0" borderId="2" xfId="2" applyFont="1" applyFill="1" applyBorder="1">
      <alignment vertical="center"/>
    </xf>
    <xf numFmtId="0" fontId="0" fillId="0" borderId="6" xfId="0" applyBorder="1" applyAlignment="1">
      <alignment horizontal="center" vertical="center"/>
    </xf>
    <xf numFmtId="0" fontId="4" fillId="0" borderId="6" xfId="0" applyFont="1" applyBorder="1">
      <alignment vertical="center"/>
    </xf>
    <xf numFmtId="38" fontId="4" fillId="0" borderId="6" xfId="2" applyFont="1" applyFill="1" applyBorder="1">
      <alignment vertical="center"/>
    </xf>
    <xf numFmtId="38" fontId="4" fillId="0" borderId="7" xfId="2" applyFont="1" applyFill="1" applyBorder="1">
      <alignment vertical="center"/>
    </xf>
    <xf numFmtId="38" fontId="0" fillId="0" borderId="4" xfId="2" applyFont="1" applyBorder="1">
      <alignment vertical="center"/>
    </xf>
    <xf numFmtId="38" fontId="0" fillId="0" borderId="2" xfId="2" applyFont="1" applyBorder="1">
      <alignment vertical="center"/>
    </xf>
    <xf numFmtId="176" fontId="4" fillId="0" borderId="0" xfId="0" applyNumberFormat="1" applyFont="1">
      <alignment vertical="center"/>
    </xf>
    <xf numFmtId="38" fontId="6" fillId="0" borderId="2" xfId="0" applyNumberFormat="1" applyFont="1" applyBorder="1">
      <alignment vertical="center"/>
    </xf>
    <xf numFmtId="3" fontId="6" fillId="0" borderId="2" xfId="0" applyNumberFormat="1" applyFont="1" applyBorder="1">
      <alignment vertical="center"/>
    </xf>
    <xf numFmtId="9" fontId="4" fillId="0" borderId="2" xfId="1" applyFont="1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>
      <alignment vertical="center"/>
    </xf>
    <xf numFmtId="0" fontId="0" fillId="0" borderId="15" xfId="0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14" xfId="0" applyBorder="1">
      <alignment vertical="center"/>
    </xf>
    <xf numFmtId="0" fontId="1" fillId="0" borderId="17" xfId="0" applyFont="1" applyBorder="1">
      <alignment vertical="center"/>
    </xf>
    <xf numFmtId="0" fontId="6" fillId="0" borderId="16" xfId="0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7" xfId="0" applyFont="1" applyBorder="1">
      <alignment vertical="center"/>
    </xf>
    <xf numFmtId="0" fontId="0" fillId="0" borderId="17" xfId="0" applyBorder="1">
      <alignment vertical="center"/>
    </xf>
    <xf numFmtId="0" fontId="0" fillId="0" borderId="18" xfId="0" applyBorder="1">
      <alignment vertical="center"/>
    </xf>
    <xf numFmtId="176" fontId="4" fillId="0" borderId="2" xfId="0" applyNumberFormat="1" applyFont="1" applyBorder="1">
      <alignment vertical="center"/>
    </xf>
    <xf numFmtId="38" fontId="6" fillId="0" borderId="4" xfId="2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3">
    <cellStyle name="パーセント" xfId="1" builtinId="5"/>
    <cellStyle name="桁区切り" xfId="2" builtinId="6"/>
    <cellStyle name="標準" xfId="0" builtinId="0"/>
  </cellStyles>
  <dxfs count="0"/>
  <tableStyles count="0" defaultTableStyle="TableStyleMedium2" defaultPivotStyle="PivotStyleLight16"/>
  <colors>
    <mruColors>
      <color rgb="FFB3B3B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28-4F28-930B-C189F6F40BA0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28-4F28-930B-C189F6F40B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04064"/>
        <c:axId val="63305600"/>
      </c:barChart>
      <c:catAx>
        <c:axId val="63304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5600"/>
        <c:crosses val="autoZero"/>
        <c:auto val="1"/>
        <c:lblAlgn val="ctr"/>
        <c:lblOffset val="100"/>
        <c:noMultiLvlLbl val="0"/>
      </c:catAx>
      <c:valAx>
        <c:axId val="63305600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04064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2687224669603523"/>
          <c:y val="0"/>
          <c:w val="0.23348017621145375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CC65-4BD2-BBC6-C3275AE4DBAF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CC65-4BD2-BBC6-C3275AE4DBA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63327232"/>
        <c:axId val="63361792"/>
      </c:barChart>
      <c:catAx>
        <c:axId val="63327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61792"/>
        <c:crosses val="autoZero"/>
        <c:auto val="1"/>
        <c:lblAlgn val="ctr"/>
        <c:lblOffset val="100"/>
        <c:noMultiLvlLbl val="0"/>
      </c:catAx>
      <c:valAx>
        <c:axId val="63361792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63327232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DADF-4458-BB3D-78A32BFC771D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DADF-4458-BB3D-78A32BFC77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008128"/>
        <c:axId val="103009664"/>
      </c:barChart>
      <c:catAx>
        <c:axId val="103008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9664"/>
        <c:crosses val="autoZero"/>
        <c:auto val="1"/>
        <c:lblAlgn val="ctr"/>
        <c:lblOffset val="100"/>
        <c:noMultiLvlLbl val="0"/>
      </c:catAx>
      <c:valAx>
        <c:axId val="10300966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008128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"/>
          <c:y val="0"/>
          <c:w val="0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発注先別の比較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rgbClr val="66CCFF"/>
            </a:solidFill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0-5062-4BC1-97D4-3115EFE9A90E}"/>
            </c:ext>
          </c:extLst>
        </c:ser>
        <c:ser>
          <c:idx val="1"/>
          <c:order val="1"/>
          <c:spPr>
            <a:ln>
              <a:solidFill>
                <a:schemeClr val="tx1"/>
              </a:solidFill>
            </a:ln>
          </c:spPr>
          <c:invertIfNegative val="0"/>
          <c:val>
            <c:numLit>
              <c:formatCode>General</c:formatCode>
              <c:ptCount val="1"/>
              <c:pt idx="0">
                <c:v>0</c:v>
              </c:pt>
            </c:numLit>
          </c:val>
          <c:extLst>
            <c:ext xmlns:c16="http://schemas.microsoft.com/office/drawing/2014/chart" uri="{C3380CC4-5D6E-409C-BE32-E72D297353CC}">
              <c16:uniqueId val="{00000001-5062-4BC1-97D4-3115EFE9A9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5"/>
        <c:overlap val="100"/>
        <c:axId val="103269120"/>
        <c:axId val="103270656"/>
      </c:barChart>
      <c:catAx>
        <c:axId val="103269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70656"/>
        <c:crosses val="autoZero"/>
        <c:auto val="1"/>
        <c:lblAlgn val="ctr"/>
        <c:lblOffset val="100"/>
        <c:noMultiLvlLbl val="0"/>
      </c:catAx>
      <c:valAx>
        <c:axId val="103270656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03269120"/>
        <c:crosses val="autoZero"/>
        <c:crossBetween val="between"/>
      </c:valAx>
      <c:spPr>
        <a:ln>
          <a:solidFill>
            <a:schemeClr val="tx1"/>
          </a:solidFill>
        </a:ln>
      </c:spPr>
    </c:plotArea>
    <c:legend>
      <c:legendPos val="r"/>
      <c:layout>
        <c:manualLayout>
          <c:xMode val="edge"/>
          <c:yMode val="edge"/>
          <c:x val="0.79264214046822745"/>
          <c:y val="0"/>
          <c:w val="0.17725752508361203"/>
          <c:h val="0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明朝"/>
              <a:ea typeface="ＭＳ 明朝"/>
              <a:cs typeface="ＭＳ 明朝"/>
            </a:defRPr>
          </a:pPr>
          <a:endParaRPr lang="ja-JP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printSettings>
    <c:headerFooter/>
    <c:pageMargins b="0.750000000000002" l="0.70000000000000062" r="0.70000000000000062" t="0.750000000000002" header="0.30000000000000032" footer="0.30000000000000032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1"/>
    </mc:Choice>
    <mc:Fallback>
      <c:style val="1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spcFirstLastPara="1" vertOverflow="ellipsis" vert="horz" wrap="square" anchor="ctr" anchorCtr="1"/>
          <a:lstStyle/>
          <a:p>
            <a:pPr>
              <a:defRPr sz="1100" b="0" i="0" u="none" strike="noStrike" kern="1200" spc="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r>
              <a:rPr lang="ja-JP" altLang="en-US"/>
              <a:t>全期間の販売数と請求額の比較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計算表!$S$3</c:f>
              <c:strCache>
                <c:ptCount val="1"/>
                <c:pt idx="0">
                  <c:v>請求額</c:v>
                </c:pt>
              </c:strCache>
            </c:strRef>
          </c:tx>
          <c:spPr>
            <a:solidFill>
              <a:srgbClr val="B3B3B3"/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計算表!$G$4:$G$7</c:f>
              <c:strCache>
                <c:ptCount val="4"/>
                <c:pt idx="0">
                  <c:v>小野田電機</c:v>
                </c:pt>
                <c:pt idx="1">
                  <c:v>ＡＢカメラ</c:v>
                </c:pt>
                <c:pt idx="2">
                  <c:v>サクラ堂</c:v>
                </c:pt>
                <c:pt idx="3">
                  <c:v>大川百貨店</c:v>
                </c:pt>
              </c:strCache>
            </c:strRef>
          </c:cat>
          <c:val>
            <c:numRef>
              <c:f>計算表!$S$4:$S$7</c:f>
              <c:numCache>
                <c:formatCode>#,##0_);[Red]\(#,##0\)</c:formatCode>
                <c:ptCount val="4"/>
                <c:pt idx="0">
                  <c:v>3348656</c:v>
                </c:pt>
                <c:pt idx="1">
                  <c:v>3354750</c:v>
                </c:pt>
                <c:pt idx="2">
                  <c:v>3439987</c:v>
                </c:pt>
                <c:pt idx="3">
                  <c:v>3587834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4341504"/>
        <c:axId val="1135980704"/>
      </c:barChart>
      <c:lineChart>
        <c:grouping val="standard"/>
        <c:varyColors val="0"/>
        <c:ser>
          <c:idx val="1"/>
          <c:order val="1"/>
          <c:tx>
            <c:strRef>
              <c:f>計算表!$N$3</c:f>
              <c:strCache>
                <c:ptCount val="1"/>
                <c:pt idx="0">
                  <c:v>販売数</c:v>
                </c:pt>
              </c:strCache>
            </c:strRef>
          </c:tx>
          <c:spPr>
            <a:ln w="28575" cap="rnd">
              <a:solidFill>
                <a:schemeClr val="tx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ysClr val="windowText" lastClr="000000"/>
              </a:solidFill>
              <a:ln w="9525">
                <a:solidFill>
                  <a:sysClr val="windowText" lastClr="000000"/>
                </a:solidFill>
              </a:ln>
              <a:effectLst/>
            </c:spPr>
          </c:marker>
          <c:cat>
            <c:strRef>
              <c:f>計算表!$G$4:$G$7</c:f>
              <c:strCache>
                <c:ptCount val="4"/>
                <c:pt idx="0">
                  <c:v>小野田電機</c:v>
                </c:pt>
                <c:pt idx="1">
                  <c:v>ＡＢカメラ</c:v>
                </c:pt>
                <c:pt idx="2">
                  <c:v>サクラ堂</c:v>
                </c:pt>
                <c:pt idx="3">
                  <c:v>大川百貨店</c:v>
                </c:pt>
              </c:strCache>
            </c:strRef>
          </c:cat>
          <c:val>
            <c:numRef>
              <c:f>計算表!$N$4:$N$7</c:f>
              <c:numCache>
                <c:formatCode>#,##0_);[Red]\(#,##0\)</c:formatCode>
                <c:ptCount val="4"/>
                <c:pt idx="0">
                  <c:v>2187</c:v>
                </c:pt>
                <c:pt idx="1">
                  <c:v>2288</c:v>
                </c:pt>
                <c:pt idx="2">
                  <c:v>2261</c:v>
                </c:pt>
                <c:pt idx="3">
                  <c:v>2410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95-4473-89AF-9CFC0F5120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385352"/>
        <c:axId val="464387976"/>
      </c:lineChart>
      <c:catAx>
        <c:axId val="46438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7976"/>
        <c:crosses val="autoZero"/>
        <c:auto val="1"/>
        <c:lblAlgn val="ctr"/>
        <c:lblOffset val="100"/>
        <c:noMultiLvlLbl val="0"/>
      </c:catAx>
      <c:valAx>
        <c:axId val="464387976"/>
        <c:scaling>
          <c:orientation val="minMax"/>
        </c:scaling>
        <c:delete val="0"/>
        <c:axPos val="l"/>
        <c:numFmt formatCode="#,##0_);[Red]\(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464385352"/>
        <c:crosses val="autoZero"/>
        <c:crossBetween val="between"/>
      </c:valAx>
      <c:valAx>
        <c:axId val="1135980704"/>
        <c:scaling>
          <c:orientation val="minMax"/>
        </c:scaling>
        <c:delete val="0"/>
        <c:axPos val="r"/>
        <c:numFmt formatCode="#,##0_);[Red]\(#,##0\)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/>
                </a:solidFill>
                <a:latin typeface="ＭＳ 明朝" panose="02020609040205080304" pitchFamily="17" charset="-128"/>
                <a:ea typeface="ＭＳ 明朝" panose="02020609040205080304" pitchFamily="17" charset="-128"/>
                <a:cs typeface="+mn-cs"/>
              </a:defRPr>
            </a:pPr>
            <a:endParaRPr lang="ja-JP"/>
          </a:p>
        </c:txPr>
        <c:crossAx val="794341504"/>
        <c:crosses val="max"/>
        <c:crossBetween val="between"/>
      </c:valAx>
      <c:catAx>
        <c:axId val="794341504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135980704"/>
        <c:crosses val="autoZero"/>
        <c:auto val="1"/>
        <c:lblAlgn val="ctr"/>
        <c:lblOffset val="100"/>
        <c:noMultiLvlLbl val="0"/>
      </c:catAx>
      <c:spPr>
        <a:solidFill>
          <a:schemeClr val="lt1"/>
        </a:solidFill>
        <a:ln>
          <a:solidFill>
            <a:schemeClr val="dk1"/>
          </a:solidFill>
        </a:ln>
        <a:effectLst/>
      </c:spPr>
    </c:plotArea>
    <c:legend>
      <c:legendPos val="r"/>
      <c:overlay val="0"/>
      <c:spPr>
        <a:solidFill>
          <a:schemeClr val="lt1"/>
        </a:solidFill>
        <a:ln w="12700" cap="flat" cmpd="sng" algn="ctr">
          <a:solidFill>
            <a:schemeClr val="dk1"/>
          </a:solidFill>
          <a:prstDash val="solid"/>
          <a:miter lim="800000"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/>
              </a:solidFill>
              <a:latin typeface="ＭＳ 明朝" panose="02020609040205080304" pitchFamily="17" charset="-128"/>
              <a:ea typeface="ＭＳ 明朝" panose="02020609040205080304" pitchFamily="17" charset="-128"/>
              <a:cs typeface="+mn-cs"/>
            </a:defRPr>
          </a:pPr>
          <a:endParaRPr lang="ja-JP"/>
        </a:p>
      </c:txPr>
    </c:legend>
    <c:plotVisOnly val="1"/>
    <c:dispBlanksAs val="gap"/>
    <c:showDLblsOverMax val="0"/>
    <c:extLst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 sz="1050">
          <a:solidFill>
            <a:schemeClr val="tx1"/>
          </a:solidFill>
          <a:latin typeface="ＭＳ 明朝" panose="02020609040205080304" pitchFamily="17" charset="-128"/>
          <a:ea typeface="ＭＳ 明朝" panose="02020609040205080304" pitchFamily="17" charset="-128"/>
        </a:defRPr>
      </a:pPr>
      <a:endParaRPr lang="ja-JP"/>
    </a:p>
  </c:txPr>
  <c:printSettings>
    <c:headerFooter>
      <c:oddHeader>&amp;A</c:oddHeader>
      <c:oddFooter>Page &amp;P</c:oddFooter>
    </c:headerFooter>
    <c:pageMargins b="0.75" l="0.7" r="0.7" t="0.75" header="0.3" footer="0.3"/>
    <c:pageSetup paperSize="13" orientation="portrait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2049" name="グラフ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4097" name="グラフ 1">
          <a:extLst>
            <a:ext uri="{FF2B5EF4-FFF2-40B4-BE49-F238E27FC236}">
              <a16:creationId xmlns:a16="http://schemas.microsoft.com/office/drawing/2014/main" id="{00000000-0008-0000-0100-0000011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8</xdr:col>
      <xdr:colOff>0</xdr:colOff>
      <xdr:row>0</xdr:row>
      <xdr:rowOff>0</xdr:rowOff>
    </xdr:to>
    <xdr:graphicFrame macro="">
      <xdr:nvGraphicFramePr>
        <xdr:cNvPr id="6145" name="グラフ 1">
          <a:extLst>
            <a:ext uri="{FF2B5EF4-FFF2-40B4-BE49-F238E27FC236}">
              <a16:creationId xmlns:a16="http://schemas.microsoft.com/office/drawing/2014/main" id="{00000000-0008-0000-0200-00000118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</xdr:col>
      <xdr:colOff>0</xdr:colOff>
      <xdr:row>0</xdr:row>
      <xdr:rowOff>0</xdr:rowOff>
    </xdr:to>
    <xdr:graphicFrame macro="">
      <xdr:nvGraphicFramePr>
        <xdr:cNvPr id="1025" name="グラフ 1">
          <a:extLst>
            <a:ext uri="{FF2B5EF4-FFF2-40B4-BE49-F238E27FC236}">
              <a16:creationId xmlns:a16="http://schemas.microsoft.com/office/drawing/2014/main" id="{00000000-0008-0000-0300-000001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517992</xdr:colOff>
      <xdr:row>16</xdr:row>
      <xdr:rowOff>36420</xdr:rowOff>
    </xdr:from>
    <xdr:to>
      <xdr:col>20</xdr:col>
      <xdr:colOff>643217</xdr:colOff>
      <xdr:row>35</xdr:row>
      <xdr:rowOff>13448</xdr:rowOff>
    </xdr:to>
    <xdr:graphicFrame macro="">
      <xdr:nvGraphicFramePr>
        <xdr:cNvPr id="1027" name="Chart 3">
          <a:extLst>
            <a:ext uri="{FF2B5EF4-FFF2-40B4-BE49-F238E27FC236}">
              <a16:creationId xmlns:a16="http://schemas.microsoft.com/office/drawing/2014/main" id="{00000000-0008-0000-0300-000003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44546A"/>
    </a:dk2>
    <a:lt2>
      <a:srgbClr val="E7E6E6"/>
    </a:lt2>
    <a:accent1>
      <a:srgbClr val="4472C4"/>
    </a:accent1>
    <a:accent2>
      <a:srgbClr val="ED7D31"/>
    </a:accent2>
    <a:accent3>
      <a:srgbClr val="A5A5A5"/>
    </a:accent3>
    <a:accent4>
      <a:srgbClr val="FFC000"/>
    </a:accent4>
    <a:accent5>
      <a:srgbClr val="5B9BD5"/>
    </a:accent5>
    <a:accent6>
      <a:srgbClr val="70AD47"/>
    </a:accent6>
    <a:hlink>
      <a:srgbClr val="0563C1"/>
    </a:hlink>
    <a:folHlink>
      <a:srgbClr val="954F72"/>
    </a:folHlink>
  </a:clrScheme>
  <a:fontScheme name="Office">
    <a:majorFont>
      <a:latin typeface="Calibri Light" panose="020F0302020204030204"/>
      <a:ea typeface=""/>
      <a:cs typeface=""/>
      <a:font script="Jpan" typeface="游ゴシック Light"/>
      <a:font script="Hang" typeface="맑은 고딕"/>
      <a:font script="Hans" typeface="等线 Light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游ゴシック"/>
      <a:font script="Hang" typeface="맑은 고딕"/>
      <a:font script="Hans" typeface="等线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lumMod val="110000"/>
              <a:satMod val="105000"/>
              <a:tint val="67000"/>
            </a:schemeClr>
          </a:gs>
          <a:gs pos="50000">
            <a:schemeClr val="phClr">
              <a:lumMod val="105000"/>
              <a:satMod val="103000"/>
              <a:tint val="73000"/>
            </a:schemeClr>
          </a:gs>
          <a:gs pos="100000">
            <a:schemeClr val="phClr">
              <a:lumMod val="105000"/>
              <a:satMod val="109000"/>
              <a:tint val="81000"/>
            </a:schemeClr>
          </a:gs>
        </a:gsLst>
        <a:lin ang="5400000" scaled="0"/>
      </a:gradFill>
      <a:gradFill rotWithShape="1">
        <a:gsLst>
          <a:gs pos="0">
            <a:schemeClr val="phClr">
              <a:satMod val="103000"/>
              <a:lumMod val="102000"/>
              <a:tint val="94000"/>
            </a:schemeClr>
          </a:gs>
          <a:gs pos="50000">
            <a:schemeClr val="phClr">
              <a:satMod val="110000"/>
              <a:lumMod val="100000"/>
              <a:shade val="100000"/>
            </a:schemeClr>
          </a:gs>
          <a:gs pos="100000">
            <a:schemeClr val="phClr">
              <a:lumMod val="99000"/>
              <a:satMod val="120000"/>
              <a:shade val="78000"/>
            </a:schemeClr>
          </a:gs>
        </a:gsLst>
        <a:lin ang="5400000" scaled="0"/>
      </a:gradFill>
    </a:fillStyleLst>
    <a:lnStyleLst>
      <a:ln w="6350" cap="flat" cmpd="sng" algn="ctr">
        <a:solidFill>
          <a:schemeClr val="phClr"/>
        </a:solidFill>
        <a:prstDash val="solid"/>
        <a:miter lim="800000"/>
      </a:ln>
      <a:ln w="12700" cap="flat" cmpd="sng" algn="ctr">
        <a:solidFill>
          <a:schemeClr val="phClr"/>
        </a:solidFill>
        <a:prstDash val="solid"/>
        <a:miter lim="800000"/>
      </a:ln>
      <a:ln w="19050" cap="flat" cmpd="sng" algn="ctr">
        <a:solidFill>
          <a:schemeClr val="phClr"/>
        </a:solidFill>
        <a:prstDash val="solid"/>
        <a:miter lim="800000"/>
      </a:ln>
    </a:lnStyleLst>
    <a:effectStyleLst>
      <a:effectStyle>
        <a:effectLst/>
      </a:effectStyle>
      <a:effectStyle>
        <a:effectLst/>
      </a:effectStyle>
      <a:effectStyle>
        <a:effectLst>
          <a:outerShdw blurRad="57150" dist="19050" dir="5400000" algn="ctr" rotWithShape="0">
            <a:srgbClr val="000000">
              <a:alpha val="63000"/>
            </a:srgbClr>
          </a:outerShdw>
        </a:effectLst>
      </a:effectStyle>
    </a:effectStyleLst>
    <a:bgFillStyleLst>
      <a:solidFill>
        <a:schemeClr val="phClr"/>
      </a:solidFill>
      <a:solidFill>
        <a:schemeClr val="phClr">
          <a:tint val="95000"/>
          <a:satMod val="170000"/>
        </a:schemeClr>
      </a:solidFill>
      <a:gradFill rotWithShape="1">
        <a:gsLst>
          <a:gs pos="0">
            <a:schemeClr val="phClr">
              <a:tint val="93000"/>
              <a:satMod val="150000"/>
              <a:shade val="98000"/>
              <a:lumMod val="102000"/>
            </a:schemeClr>
          </a:gs>
          <a:gs pos="50000">
            <a:schemeClr val="phClr">
              <a:tint val="98000"/>
              <a:satMod val="130000"/>
              <a:shade val="90000"/>
              <a:lumMod val="103000"/>
            </a:schemeClr>
          </a:gs>
          <a:gs pos="100000">
            <a:schemeClr val="phClr">
              <a:shade val="63000"/>
              <a:satMod val="120000"/>
            </a:schemeClr>
          </a:gs>
        </a:gsLst>
        <a:lin ang="5400000" scaled="0"/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7"/>
  <sheetViews>
    <sheetView tabSelected="1" zoomScaleNormal="100" workbookViewId="0"/>
  </sheetViews>
  <sheetFormatPr defaultRowHeight="13.5"/>
  <cols>
    <col min="1" max="1" width="7.5" style="1" customWidth="1"/>
    <col min="2" max="2" width="7.5" style="1" bestFit="1" customWidth="1"/>
    <col min="3" max="3" width="6.5" style="1" bestFit="1" customWidth="1"/>
    <col min="4" max="4" width="6.5" bestFit="1" customWidth="1"/>
    <col min="5" max="5" width="7.5" style="1" customWidth="1"/>
    <col min="6" max="6" width="11.625" style="1" bestFit="1" customWidth="1"/>
    <col min="7" max="7" width="11.625" style="1" customWidth="1"/>
    <col min="8" max="8" width="4.875" style="1" customWidth="1"/>
    <col min="9" max="10" width="7.5" style="1" bestFit="1" customWidth="1"/>
    <col min="11" max="11" width="7.5" style="1" customWidth="1"/>
    <col min="12" max="12" width="4.875" style="1" customWidth="1"/>
    <col min="13" max="13" width="8.5" style="1" customWidth="1"/>
    <col min="14" max="17" width="5.5" style="1" bestFit="1" customWidth="1"/>
    <col min="18" max="16384" width="9" style="1"/>
  </cols>
  <sheetData>
    <row r="1" spans="1:18">
      <c r="A1" t="s">
        <v>2</v>
      </c>
      <c r="E1" t="s">
        <v>5</v>
      </c>
      <c r="I1" t="s">
        <v>25</v>
      </c>
      <c r="M1" t="s">
        <v>32</v>
      </c>
    </row>
    <row r="2" spans="1:18">
      <c r="A2" s="13" t="s">
        <v>3</v>
      </c>
      <c r="B2" s="13" t="s">
        <v>4</v>
      </c>
      <c r="C2" s="13" t="s">
        <v>10</v>
      </c>
      <c r="E2" s="13" t="s">
        <v>6</v>
      </c>
      <c r="F2" s="13" t="s">
        <v>7</v>
      </c>
      <c r="G2" s="23" t="s">
        <v>18</v>
      </c>
      <c r="I2" s="58" t="s">
        <v>8</v>
      </c>
      <c r="J2" s="57" t="s">
        <v>27</v>
      </c>
      <c r="K2" s="57"/>
      <c r="M2" s="57" t="s">
        <v>16</v>
      </c>
      <c r="N2" s="60" t="s">
        <v>8</v>
      </c>
      <c r="O2" s="61"/>
      <c r="P2" s="61"/>
      <c r="Q2" s="62"/>
    </row>
    <row r="3" spans="1:18">
      <c r="A3" s="3">
        <v>101</v>
      </c>
      <c r="B3" s="14" t="s">
        <v>19</v>
      </c>
      <c r="C3" s="5">
        <v>1680</v>
      </c>
      <c r="E3" s="3">
        <v>11</v>
      </c>
      <c r="F3" s="27" t="s">
        <v>28</v>
      </c>
      <c r="G3" s="41">
        <v>3561000</v>
      </c>
      <c r="I3" s="59"/>
      <c r="J3" s="3">
        <v>1</v>
      </c>
      <c r="K3" s="3">
        <v>2</v>
      </c>
      <c r="M3" s="57"/>
      <c r="N3" s="27">
        <v>1</v>
      </c>
      <c r="O3" s="27">
        <v>150</v>
      </c>
      <c r="P3" s="27">
        <v>200</v>
      </c>
      <c r="Q3" s="27">
        <v>250</v>
      </c>
    </row>
    <row r="4" spans="1:18">
      <c r="A4" s="3">
        <v>102</v>
      </c>
      <c r="B4" s="14" t="s">
        <v>20</v>
      </c>
      <c r="C4" s="5">
        <v>3090</v>
      </c>
      <c r="E4" s="3">
        <v>12</v>
      </c>
      <c r="F4" s="27" t="s">
        <v>29</v>
      </c>
      <c r="G4" s="41">
        <v>3450000</v>
      </c>
      <c r="I4" s="27">
        <v>1</v>
      </c>
      <c r="J4" s="22">
        <v>0.21</v>
      </c>
      <c r="K4" s="22">
        <v>0.22</v>
      </c>
      <c r="M4" s="38">
        <v>1</v>
      </c>
      <c r="N4" s="55">
        <v>4.8000000000000001E-2</v>
      </c>
      <c r="O4" s="55">
        <v>5.0999999999999997E-2</v>
      </c>
      <c r="P4" s="55">
        <v>5.3999999999999999E-2</v>
      </c>
      <c r="Q4" s="55">
        <v>5.7000000000000002E-2</v>
      </c>
      <c r="R4" s="39"/>
    </row>
    <row r="5" spans="1:18">
      <c r="A5" s="3">
        <v>201</v>
      </c>
      <c r="B5" s="14" t="s">
        <v>21</v>
      </c>
      <c r="C5" s="5">
        <v>1260</v>
      </c>
      <c r="E5" s="3">
        <v>13</v>
      </c>
      <c r="F5" s="27" t="s">
        <v>31</v>
      </c>
      <c r="G5" s="41">
        <v>3650000</v>
      </c>
      <c r="I5" s="27">
        <v>150</v>
      </c>
      <c r="J5" s="22">
        <v>0.23</v>
      </c>
      <c r="K5" s="22">
        <v>0.24</v>
      </c>
      <c r="M5" s="38">
        <v>200000</v>
      </c>
      <c r="N5" s="55">
        <v>4.3999999999999997E-2</v>
      </c>
      <c r="O5" s="55">
        <v>4.7E-2</v>
      </c>
      <c r="P5" s="55">
        <v>0.05</v>
      </c>
      <c r="Q5" s="55">
        <v>5.2999999999999999E-2</v>
      </c>
      <c r="R5" s="39"/>
    </row>
    <row r="6" spans="1:18">
      <c r="A6" s="3">
        <v>202</v>
      </c>
      <c r="B6" s="14" t="s">
        <v>22</v>
      </c>
      <c r="C6" s="5">
        <v>2650</v>
      </c>
      <c r="E6" s="3">
        <v>14</v>
      </c>
      <c r="F6" s="27" t="s">
        <v>30</v>
      </c>
      <c r="G6" s="41">
        <v>3180000</v>
      </c>
      <c r="I6" s="27">
        <v>200</v>
      </c>
      <c r="J6" s="22">
        <v>0.26</v>
      </c>
      <c r="K6" s="22">
        <v>0.27</v>
      </c>
      <c r="M6" s="38">
        <v>350000</v>
      </c>
      <c r="N6" s="55">
        <v>0.04</v>
      </c>
      <c r="O6" s="55">
        <v>4.2999999999999997E-2</v>
      </c>
      <c r="P6" s="55">
        <v>4.5999999999999999E-2</v>
      </c>
      <c r="Q6" s="55">
        <v>4.9000000000000002E-2</v>
      </c>
      <c r="R6" s="39"/>
    </row>
    <row r="7" spans="1:18">
      <c r="A7" s="3">
        <v>301</v>
      </c>
      <c r="B7" s="14" t="s">
        <v>23</v>
      </c>
      <c r="C7" s="5">
        <v>970</v>
      </c>
    </row>
    <row r="8" spans="1:18">
      <c r="A8" s="3">
        <v>302</v>
      </c>
      <c r="B8" s="14" t="s">
        <v>24</v>
      </c>
      <c r="C8" s="5">
        <v>2340</v>
      </c>
    </row>
    <row r="10" spans="1:18">
      <c r="E10"/>
    </row>
    <row r="11" spans="1:18">
      <c r="E11"/>
    </row>
    <row r="12" spans="1:18">
      <c r="E12"/>
    </row>
    <row r="13" spans="1:18">
      <c r="E13"/>
    </row>
    <row r="14" spans="1:18">
      <c r="E14"/>
    </row>
    <row r="15" spans="1:18">
      <c r="E15"/>
    </row>
    <row r="16" spans="1:18">
      <c r="E16"/>
    </row>
    <row r="17" spans="5:5">
      <c r="E17"/>
    </row>
  </sheetData>
  <sortState xmlns:xlrd2="http://schemas.microsoft.com/office/spreadsheetml/2017/richdata2" ref="J8:J10">
    <sortCondition ref="J8:J10"/>
  </sortState>
  <mergeCells count="4">
    <mergeCell ref="M2:M3"/>
    <mergeCell ref="J2:K2"/>
    <mergeCell ref="I2:I3"/>
    <mergeCell ref="N2:Q2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9"/>
  <sheetViews>
    <sheetView zoomScaleNormal="100" workbookViewId="0"/>
  </sheetViews>
  <sheetFormatPr defaultRowHeight="13.5"/>
  <cols>
    <col min="1" max="3" width="7.5" style="1" bestFit="1" customWidth="1"/>
    <col min="4" max="4" width="11.625" style="1" bestFit="1" customWidth="1"/>
    <col min="5" max="5" width="7.5" style="1" customWidth="1"/>
    <col min="6" max="6" width="6.5" style="1" bestFit="1" customWidth="1"/>
    <col min="7" max="7" width="10.5" style="1" bestFit="1" customWidth="1"/>
    <col min="8" max="8" width="8.5" style="1" bestFit="1" customWidth="1"/>
    <col min="9" max="16384" width="9" style="1"/>
  </cols>
  <sheetData>
    <row r="1" spans="1:13">
      <c r="A1" s="11" t="s">
        <v>3</v>
      </c>
      <c r="B1" s="28" t="s">
        <v>4</v>
      </c>
      <c r="C1" s="28" t="s">
        <v>6</v>
      </c>
      <c r="D1" s="28" t="s">
        <v>7</v>
      </c>
      <c r="E1" s="28" t="s">
        <v>8</v>
      </c>
      <c r="F1" s="28" t="s">
        <v>26</v>
      </c>
      <c r="G1" s="28" t="s">
        <v>9</v>
      </c>
      <c r="H1" s="29" t="s">
        <v>33</v>
      </c>
    </row>
    <row r="2" spans="1:13">
      <c r="A2" s="2">
        <v>101</v>
      </c>
      <c r="B2" s="14" t="str">
        <f>VLOOKUP(A2,テーブル!$A$3:$C$8,2,0)</f>
        <v>Ａ商品</v>
      </c>
      <c r="C2" s="3">
        <v>11</v>
      </c>
      <c r="D2" s="3" t="str">
        <f>VLOOKUP(C2,テーブル!$E$3:$G$6,2,0)</f>
        <v>小野田電機</v>
      </c>
      <c r="E2" s="40">
        <v>190</v>
      </c>
      <c r="F2" s="30">
        <f>ROUNDUP(VLOOKUP(A2,テーブル!$A$3:$C$8,3,0)*(1-VLOOKUP(E2,テーブル!$I$4:$K$6,MOD(A2,10)+1,1)),-1)</f>
        <v>1300</v>
      </c>
      <c r="G2" s="31">
        <f>F2*E2</f>
        <v>247000</v>
      </c>
      <c r="H2" s="37">
        <f>ROUND(G2*INDEX(テーブル!$N$4:$Q$6,MATCH(G2,テーブル!$M$4:$M$6,1),MATCH(E2,テーブル!$N$3:$Q$3,1)),-2)</f>
        <v>11600</v>
      </c>
      <c r="I2" s="17"/>
      <c r="J2"/>
      <c r="K2"/>
      <c r="L2"/>
      <c r="M2"/>
    </row>
    <row r="3" spans="1:13">
      <c r="A3" s="2">
        <v>101</v>
      </c>
      <c r="B3" s="14" t="str">
        <f>VLOOKUP(A3,テーブル!$A$3:$C$8,2,0)</f>
        <v>Ａ商品</v>
      </c>
      <c r="C3" s="3">
        <v>12</v>
      </c>
      <c r="D3" s="3" t="str">
        <f>VLOOKUP(C3,テーブル!$E$3:$G$6,2,0)</f>
        <v>サクラ堂</v>
      </c>
      <c r="E3" s="40">
        <v>160</v>
      </c>
      <c r="F3" s="30">
        <f>ROUNDUP(VLOOKUP(A3,テーブル!$A$3:$C$8,3,0)*(1-VLOOKUP(E3,テーブル!$I$4:$K$6,MOD(A3,10)+1,1)),-1)</f>
        <v>1300</v>
      </c>
      <c r="G3" s="31">
        <f t="shared" ref="G3:G25" si="0">F3*E3</f>
        <v>208000</v>
      </c>
      <c r="H3" s="37">
        <f>ROUND(G3*INDEX(テーブル!$N$4:$Q$6,MATCH(G3,テーブル!$M$4:$M$6,1),MATCH(E3,テーブル!$N$3:$Q$3,1)),-2)</f>
        <v>9800</v>
      </c>
      <c r="I3" s="17"/>
      <c r="J3"/>
      <c r="K3"/>
      <c r="L3"/>
      <c r="M3"/>
    </row>
    <row r="4" spans="1:13">
      <c r="A4" s="2">
        <v>101</v>
      </c>
      <c r="B4" s="14" t="str">
        <f>VLOOKUP(A4,テーブル!$A$3:$C$8,2,0)</f>
        <v>Ａ商品</v>
      </c>
      <c r="C4" s="3">
        <v>13</v>
      </c>
      <c r="D4" s="3" t="str">
        <f>VLOOKUP(C4,テーブル!$E$3:$G$6,2,0)</f>
        <v>大川百貨店</v>
      </c>
      <c r="E4" s="40">
        <v>240</v>
      </c>
      <c r="F4" s="30">
        <f>ROUNDUP(VLOOKUP(A4,テーブル!$A$3:$C$8,3,0)*(1-VLOOKUP(E4,テーブル!$I$4:$K$6,MOD(A4,10)+1,1)),-1)</f>
        <v>1250</v>
      </c>
      <c r="G4" s="31">
        <f t="shared" si="0"/>
        <v>300000</v>
      </c>
      <c r="H4" s="37">
        <f>ROUND(G4*INDEX(テーブル!$N$4:$Q$6,MATCH(G4,テーブル!$M$4:$M$6,1),MATCH(E4,テーブル!$N$3:$Q$3,1)),-2)</f>
        <v>15000</v>
      </c>
      <c r="I4" s="17"/>
      <c r="J4"/>
      <c r="K4"/>
      <c r="L4"/>
      <c r="M4"/>
    </row>
    <row r="5" spans="1:13">
      <c r="A5" s="2">
        <v>101</v>
      </c>
      <c r="B5" s="14" t="str">
        <f>VLOOKUP(A5,テーブル!$A$3:$C$8,2,0)</f>
        <v>Ａ商品</v>
      </c>
      <c r="C5" s="3">
        <v>14</v>
      </c>
      <c r="D5" s="3" t="str">
        <f>VLOOKUP(C5,テーブル!$E$3:$G$6,2,0)</f>
        <v>ＡＢカメラ</v>
      </c>
      <c r="E5" s="40">
        <v>189</v>
      </c>
      <c r="F5" s="30">
        <f>ROUNDUP(VLOOKUP(A5,テーブル!$A$3:$C$8,3,0)*(1-VLOOKUP(E5,テーブル!$I$4:$K$6,MOD(A5,10)+1,1)),-1)</f>
        <v>1300</v>
      </c>
      <c r="G5" s="31">
        <f t="shared" si="0"/>
        <v>245700</v>
      </c>
      <c r="H5" s="37">
        <f>ROUND(G5*INDEX(テーブル!$N$4:$Q$6,MATCH(G5,テーブル!$M$4:$M$6,1),MATCH(E5,テーブル!$N$3:$Q$3,1)),-2)</f>
        <v>11500</v>
      </c>
      <c r="I5" s="17"/>
      <c r="J5"/>
      <c r="K5"/>
      <c r="L5"/>
      <c r="M5"/>
    </row>
    <row r="6" spans="1:13">
      <c r="A6" s="2">
        <v>102</v>
      </c>
      <c r="B6" s="14" t="str">
        <f>VLOOKUP(A6,テーブル!$A$3:$C$8,2,0)</f>
        <v>Ｂ商品</v>
      </c>
      <c r="C6" s="3">
        <v>11</v>
      </c>
      <c r="D6" s="3" t="str">
        <f>VLOOKUP(C6,テーブル!$E$3:$G$6,2,0)</f>
        <v>小野田電機</v>
      </c>
      <c r="E6" s="40">
        <v>149</v>
      </c>
      <c r="F6" s="30">
        <f>ROUNDUP(VLOOKUP(A6,テーブル!$A$3:$C$8,3,0)*(1-VLOOKUP(E6,テーブル!$I$4:$K$6,MOD(A6,10)+1,1)),-1)</f>
        <v>2420</v>
      </c>
      <c r="G6" s="31">
        <f t="shared" si="0"/>
        <v>360580</v>
      </c>
      <c r="H6" s="37">
        <f>ROUND(G6*INDEX(テーブル!$N$4:$Q$6,MATCH(G6,テーブル!$M$4:$M$6,1),MATCH(E6,テーブル!$N$3:$Q$3,1)),-2)</f>
        <v>14400</v>
      </c>
      <c r="I6" s="17"/>
      <c r="J6"/>
      <c r="K6"/>
      <c r="L6"/>
      <c r="M6"/>
    </row>
    <row r="7" spans="1:13">
      <c r="A7" s="2">
        <v>102</v>
      </c>
      <c r="B7" s="14" t="str">
        <f>VLOOKUP(A7,テーブル!$A$3:$C$8,2,0)</f>
        <v>Ｂ商品</v>
      </c>
      <c r="C7" s="3">
        <v>12</v>
      </c>
      <c r="D7" s="3" t="str">
        <f>VLOOKUP(C7,テーブル!$E$3:$G$6,2,0)</f>
        <v>サクラ堂</v>
      </c>
      <c r="E7" s="40">
        <v>196</v>
      </c>
      <c r="F7" s="30">
        <f>ROUNDUP(VLOOKUP(A7,テーブル!$A$3:$C$8,3,0)*(1-VLOOKUP(E7,テーブル!$I$4:$K$6,MOD(A7,10)+1,1)),-1)</f>
        <v>2350</v>
      </c>
      <c r="G7" s="31">
        <f t="shared" si="0"/>
        <v>460600</v>
      </c>
      <c r="H7" s="37">
        <f>ROUND(G7*INDEX(テーブル!$N$4:$Q$6,MATCH(G7,テーブル!$M$4:$M$6,1),MATCH(E7,テーブル!$N$3:$Q$3,1)),-2)</f>
        <v>19800</v>
      </c>
      <c r="I7" s="17"/>
      <c r="J7"/>
      <c r="K7"/>
      <c r="L7"/>
      <c r="M7"/>
    </row>
    <row r="8" spans="1:13">
      <c r="A8" s="2">
        <v>102</v>
      </c>
      <c r="B8" s="14" t="str">
        <f>VLOOKUP(A8,テーブル!$A$3:$C$8,2,0)</f>
        <v>Ｂ商品</v>
      </c>
      <c r="C8" s="3">
        <v>13</v>
      </c>
      <c r="D8" s="3" t="str">
        <f>VLOOKUP(C8,テーブル!$E$3:$G$6,2,0)</f>
        <v>大川百貨店</v>
      </c>
      <c r="E8" s="40">
        <v>228</v>
      </c>
      <c r="F8" s="30">
        <f>ROUNDUP(VLOOKUP(A8,テーブル!$A$3:$C$8,3,0)*(1-VLOOKUP(E8,テーブル!$I$4:$K$6,MOD(A8,10)+1,1)),-1)</f>
        <v>2260</v>
      </c>
      <c r="G8" s="31">
        <f t="shared" si="0"/>
        <v>515280</v>
      </c>
      <c r="H8" s="37">
        <f>ROUND(G8*INDEX(テーブル!$N$4:$Q$6,MATCH(G8,テーブル!$M$4:$M$6,1),MATCH(E8,テーブル!$N$3:$Q$3,1)),-2)</f>
        <v>23700</v>
      </c>
      <c r="I8" s="17"/>
      <c r="J8"/>
      <c r="K8"/>
      <c r="L8"/>
      <c r="M8"/>
    </row>
    <row r="9" spans="1:13">
      <c r="A9" s="2">
        <v>102</v>
      </c>
      <c r="B9" s="14" t="str">
        <f>VLOOKUP(A9,テーブル!$A$3:$C$8,2,0)</f>
        <v>Ｂ商品</v>
      </c>
      <c r="C9" s="3">
        <v>14</v>
      </c>
      <c r="D9" s="3" t="str">
        <f>VLOOKUP(C9,テーブル!$E$3:$G$6,2,0)</f>
        <v>ＡＢカメラ</v>
      </c>
      <c r="E9" s="40">
        <v>129</v>
      </c>
      <c r="F9" s="30">
        <f>ROUNDUP(VLOOKUP(A9,テーブル!$A$3:$C$8,3,0)*(1-VLOOKUP(E9,テーブル!$I$4:$K$6,MOD(A9,10)+1,1)),-1)</f>
        <v>2420</v>
      </c>
      <c r="G9" s="31">
        <f t="shared" si="0"/>
        <v>312180</v>
      </c>
      <c r="H9" s="37">
        <f>ROUND(G9*INDEX(テーブル!$N$4:$Q$6,MATCH(G9,テーブル!$M$4:$M$6,1),MATCH(E9,テーブル!$N$3:$Q$3,1)),-2)</f>
        <v>13700</v>
      </c>
      <c r="I9" s="17"/>
      <c r="J9"/>
      <c r="K9"/>
      <c r="L9"/>
      <c r="M9"/>
    </row>
    <row r="10" spans="1:13">
      <c r="A10" s="2">
        <v>201</v>
      </c>
      <c r="B10" s="14" t="str">
        <f>VLOOKUP(A10,テーブル!$A$3:$C$8,2,0)</f>
        <v>Ｃ商品</v>
      </c>
      <c r="C10" s="3">
        <v>11</v>
      </c>
      <c r="D10" s="3" t="str">
        <f>VLOOKUP(C10,テーブル!$E$3:$G$6,2,0)</f>
        <v>小野田電機</v>
      </c>
      <c r="E10" s="40">
        <v>272</v>
      </c>
      <c r="F10" s="30">
        <f>ROUNDUP(VLOOKUP(A10,テーブル!$A$3:$C$8,3,0)*(1-VLOOKUP(E10,テーブル!$I$4:$K$6,MOD(A10,10)+1,1)),-1)</f>
        <v>940</v>
      </c>
      <c r="G10" s="31">
        <f t="shared" si="0"/>
        <v>255680</v>
      </c>
      <c r="H10" s="37">
        <f>ROUND(G10*INDEX(テーブル!$N$4:$Q$6,MATCH(G10,テーブル!$M$4:$M$6,1),MATCH(E10,テーブル!$N$3:$Q$3,1)),-2)</f>
        <v>13600</v>
      </c>
      <c r="I10" s="17"/>
      <c r="J10"/>
      <c r="K10"/>
      <c r="L10"/>
      <c r="M10"/>
    </row>
    <row r="11" spans="1:13">
      <c r="A11" s="2">
        <v>201</v>
      </c>
      <c r="B11" s="14" t="str">
        <f>VLOOKUP(A11,テーブル!$A$3:$C$8,2,0)</f>
        <v>Ｃ商品</v>
      </c>
      <c r="C11" s="3">
        <v>12</v>
      </c>
      <c r="D11" s="3" t="str">
        <f>VLOOKUP(C11,テーブル!$E$3:$G$6,2,0)</f>
        <v>サクラ堂</v>
      </c>
      <c r="E11" s="40">
        <v>128</v>
      </c>
      <c r="F11" s="30">
        <f>ROUNDUP(VLOOKUP(A11,テーブル!$A$3:$C$8,3,0)*(1-VLOOKUP(E11,テーブル!$I$4:$K$6,MOD(A11,10)+1,1)),-1)</f>
        <v>1000</v>
      </c>
      <c r="G11" s="31">
        <f t="shared" si="0"/>
        <v>128000</v>
      </c>
      <c r="H11" s="37">
        <f>ROUND(G11*INDEX(テーブル!$N$4:$Q$6,MATCH(G11,テーブル!$M$4:$M$6,1),MATCH(E11,テーブル!$N$3:$Q$3,1)),-2)</f>
        <v>6100</v>
      </c>
      <c r="I11" s="17"/>
      <c r="J11"/>
      <c r="K11"/>
      <c r="L11"/>
      <c r="M11"/>
    </row>
    <row r="12" spans="1:13">
      <c r="A12" s="2">
        <v>201</v>
      </c>
      <c r="B12" s="14" t="str">
        <f>VLOOKUP(A12,テーブル!$A$3:$C$8,2,0)</f>
        <v>Ｃ商品</v>
      </c>
      <c r="C12" s="3">
        <v>13</v>
      </c>
      <c r="D12" s="3" t="str">
        <f>VLOOKUP(C12,テーブル!$E$3:$G$6,2,0)</f>
        <v>大川百貨店</v>
      </c>
      <c r="E12" s="40">
        <v>189</v>
      </c>
      <c r="F12" s="30">
        <f>ROUNDUP(VLOOKUP(A12,テーブル!$A$3:$C$8,3,0)*(1-VLOOKUP(E12,テーブル!$I$4:$K$6,MOD(A12,10)+1,1)),-1)</f>
        <v>980</v>
      </c>
      <c r="G12" s="31">
        <f t="shared" si="0"/>
        <v>185220</v>
      </c>
      <c r="H12" s="37">
        <f>ROUND(G12*INDEX(テーブル!$N$4:$Q$6,MATCH(G12,テーブル!$M$4:$M$6,1),MATCH(E12,テーブル!$N$3:$Q$3,1)),-2)</f>
        <v>9400</v>
      </c>
      <c r="I12" s="17"/>
      <c r="J12"/>
      <c r="K12"/>
      <c r="L12"/>
      <c r="M12"/>
    </row>
    <row r="13" spans="1:13">
      <c r="A13" s="2">
        <v>201</v>
      </c>
      <c r="B13" s="14" t="str">
        <f>VLOOKUP(A13,テーブル!$A$3:$C$8,2,0)</f>
        <v>Ｃ商品</v>
      </c>
      <c r="C13" s="3">
        <v>14</v>
      </c>
      <c r="D13" s="3" t="str">
        <f>VLOOKUP(C13,テーブル!$E$3:$G$6,2,0)</f>
        <v>ＡＢカメラ</v>
      </c>
      <c r="E13" s="40">
        <v>205</v>
      </c>
      <c r="F13" s="30">
        <f>ROUNDUP(VLOOKUP(A13,テーブル!$A$3:$C$8,3,0)*(1-VLOOKUP(E13,テーブル!$I$4:$K$6,MOD(A13,10)+1,1)),-1)</f>
        <v>940</v>
      </c>
      <c r="G13" s="31">
        <f t="shared" si="0"/>
        <v>192700</v>
      </c>
      <c r="H13" s="37">
        <f>ROUND(G13*INDEX(テーブル!$N$4:$Q$6,MATCH(G13,テーブル!$M$4:$M$6,1),MATCH(E13,テーブル!$N$3:$Q$3,1)),-2)</f>
        <v>10400</v>
      </c>
      <c r="I13" s="17"/>
      <c r="J13"/>
      <c r="K13"/>
      <c r="L13"/>
      <c r="M13"/>
    </row>
    <row r="14" spans="1:13">
      <c r="A14" s="2">
        <v>202</v>
      </c>
      <c r="B14" s="14" t="str">
        <f>VLOOKUP(A14,テーブル!$A$3:$C$8,2,0)</f>
        <v>Ｄ商品</v>
      </c>
      <c r="C14" s="3">
        <v>11</v>
      </c>
      <c r="D14" s="3" t="str">
        <f>VLOOKUP(C14,テーブル!$E$3:$G$6,2,0)</f>
        <v>小野田電機</v>
      </c>
      <c r="E14" s="40">
        <v>131</v>
      </c>
      <c r="F14" s="30">
        <f>ROUNDUP(VLOOKUP(A14,テーブル!$A$3:$C$8,3,0)*(1-VLOOKUP(E14,テーブル!$I$4:$K$6,MOD(A14,10)+1,1)),-1)</f>
        <v>2070</v>
      </c>
      <c r="G14" s="31">
        <f t="shared" si="0"/>
        <v>271170</v>
      </c>
      <c r="H14" s="37">
        <f>ROUND(G14*INDEX(テーブル!$N$4:$Q$6,MATCH(G14,テーブル!$M$4:$M$6,1),MATCH(E14,テーブル!$N$3:$Q$3,1)),-2)</f>
        <v>11900</v>
      </c>
      <c r="I14" s="17"/>
      <c r="J14"/>
      <c r="K14"/>
      <c r="L14"/>
      <c r="M14"/>
    </row>
    <row r="15" spans="1:13">
      <c r="A15" s="2">
        <v>202</v>
      </c>
      <c r="B15" s="14" t="str">
        <f>VLOOKUP(A15,テーブル!$A$3:$C$8,2,0)</f>
        <v>Ｄ商品</v>
      </c>
      <c r="C15" s="3">
        <v>12</v>
      </c>
      <c r="D15" s="3" t="str">
        <f>VLOOKUP(C15,テーブル!$E$3:$G$6,2,0)</f>
        <v>サクラ堂</v>
      </c>
      <c r="E15" s="40">
        <v>142</v>
      </c>
      <c r="F15" s="30">
        <f>ROUNDUP(VLOOKUP(A15,テーブル!$A$3:$C$8,3,0)*(1-VLOOKUP(E15,テーブル!$I$4:$K$6,MOD(A15,10)+1,1)),-1)</f>
        <v>2070</v>
      </c>
      <c r="G15" s="31">
        <f t="shared" si="0"/>
        <v>293940</v>
      </c>
      <c r="H15" s="37">
        <f>ROUND(G15*INDEX(テーブル!$N$4:$Q$6,MATCH(G15,テーブル!$M$4:$M$6,1),MATCH(E15,テーブル!$N$3:$Q$3,1)),-2)</f>
        <v>12900</v>
      </c>
      <c r="I15" s="17"/>
      <c r="J15"/>
      <c r="K15"/>
      <c r="L15"/>
      <c r="M15"/>
    </row>
    <row r="16" spans="1:13">
      <c r="A16" s="2">
        <v>202</v>
      </c>
      <c r="B16" s="14" t="str">
        <f>VLOOKUP(A16,テーブル!$A$3:$C$8,2,0)</f>
        <v>Ｄ商品</v>
      </c>
      <c r="C16" s="3">
        <v>13</v>
      </c>
      <c r="D16" s="3" t="str">
        <f>VLOOKUP(C16,テーブル!$E$3:$G$6,2,0)</f>
        <v>大川百貨店</v>
      </c>
      <c r="E16" s="40">
        <v>231</v>
      </c>
      <c r="F16" s="30">
        <f>ROUNDUP(VLOOKUP(A16,テーブル!$A$3:$C$8,3,0)*(1-VLOOKUP(E16,テーブル!$I$4:$K$6,MOD(A16,10)+1,1)),-1)</f>
        <v>1940</v>
      </c>
      <c r="G16" s="31">
        <f t="shared" si="0"/>
        <v>448140</v>
      </c>
      <c r="H16" s="37">
        <f>ROUND(G16*INDEX(テーブル!$N$4:$Q$6,MATCH(G16,テーブル!$M$4:$M$6,1),MATCH(E16,テーブル!$N$3:$Q$3,1)),-2)</f>
        <v>20600</v>
      </c>
      <c r="I16" s="17"/>
      <c r="J16"/>
      <c r="K16"/>
      <c r="L16"/>
      <c r="M16"/>
    </row>
    <row r="17" spans="1:13">
      <c r="A17" s="2">
        <v>202</v>
      </c>
      <c r="B17" s="14" t="str">
        <f>VLOOKUP(A17,テーブル!$A$3:$C$8,2,0)</f>
        <v>Ｄ商品</v>
      </c>
      <c r="C17" s="3">
        <v>14</v>
      </c>
      <c r="D17" s="3" t="str">
        <f>VLOOKUP(C17,テーブル!$E$3:$G$6,2,0)</f>
        <v>ＡＢカメラ</v>
      </c>
      <c r="E17" s="40">
        <v>197</v>
      </c>
      <c r="F17" s="30">
        <f>ROUNDUP(VLOOKUP(A17,テーブル!$A$3:$C$8,3,0)*(1-VLOOKUP(E17,テーブル!$I$4:$K$6,MOD(A17,10)+1,1)),-1)</f>
        <v>2020</v>
      </c>
      <c r="G17" s="31">
        <f t="shared" si="0"/>
        <v>397940</v>
      </c>
      <c r="H17" s="37">
        <f>ROUND(G17*INDEX(テーブル!$N$4:$Q$6,MATCH(G17,テーブル!$M$4:$M$6,1),MATCH(E17,テーブル!$N$3:$Q$3,1)),-2)</f>
        <v>17100</v>
      </c>
      <c r="I17" s="17"/>
      <c r="J17"/>
      <c r="K17"/>
      <c r="L17"/>
      <c r="M17"/>
    </row>
    <row r="18" spans="1:13">
      <c r="A18" s="2">
        <v>301</v>
      </c>
      <c r="B18" s="14" t="str">
        <f>VLOOKUP(A18,テーブル!$A$3:$C$8,2,0)</f>
        <v>Ｅ商品</v>
      </c>
      <c r="C18" s="3">
        <v>11</v>
      </c>
      <c r="D18" s="3" t="str">
        <f>VLOOKUP(C18,テーブル!$E$3:$G$6,2,0)</f>
        <v>小野田電機</v>
      </c>
      <c r="E18" s="40">
        <v>104</v>
      </c>
      <c r="F18" s="30">
        <f>ROUNDUP(VLOOKUP(A18,テーブル!$A$3:$C$8,3,0)*(1-VLOOKUP(E18,テーブル!$I$4:$K$6,MOD(A18,10)+1,1)),-1)</f>
        <v>770</v>
      </c>
      <c r="G18" s="31">
        <f t="shared" si="0"/>
        <v>80080</v>
      </c>
      <c r="H18" s="37">
        <f>ROUND(G18*INDEX(テーブル!$N$4:$Q$6,MATCH(G18,テーブル!$M$4:$M$6,1),MATCH(E18,テーブル!$N$3:$Q$3,1)),-2)</f>
        <v>3800</v>
      </c>
      <c r="I18" s="17"/>
      <c r="J18"/>
      <c r="K18"/>
      <c r="L18"/>
      <c r="M18"/>
    </row>
    <row r="19" spans="1:13">
      <c r="A19" s="2">
        <v>301</v>
      </c>
      <c r="B19" s="14" t="str">
        <f>VLOOKUP(A19,テーブル!$A$3:$C$8,2,0)</f>
        <v>Ｅ商品</v>
      </c>
      <c r="C19" s="3">
        <v>12</v>
      </c>
      <c r="D19" s="3" t="str">
        <f>VLOOKUP(C19,テーブル!$E$3:$G$6,2,0)</f>
        <v>サクラ堂</v>
      </c>
      <c r="E19" s="40">
        <v>175</v>
      </c>
      <c r="F19" s="30">
        <f>ROUNDUP(VLOOKUP(A19,テーブル!$A$3:$C$8,3,0)*(1-VLOOKUP(E19,テーブル!$I$4:$K$6,MOD(A19,10)+1,1)),-1)</f>
        <v>750</v>
      </c>
      <c r="G19" s="31">
        <f t="shared" si="0"/>
        <v>131250</v>
      </c>
      <c r="H19" s="37">
        <f>ROUND(G19*INDEX(テーブル!$N$4:$Q$6,MATCH(G19,テーブル!$M$4:$M$6,1),MATCH(E19,テーブル!$N$3:$Q$3,1)),-2)</f>
        <v>6700</v>
      </c>
      <c r="I19" s="17"/>
      <c r="J19"/>
      <c r="K19"/>
      <c r="L19"/>
      <c r="M19"/>
    </row>
    <row r="20" spans="1:13">
      <c r="A20" s="2">
        <v>301</v>
      </c>
      <c r="B20" s="14" t="str">
        <f>VLOOKUP(A20,テーブル!$A$3:$C$8,2,0)</f>
        <v>Ｅ商品</v>
      </c>
      <c r="C20" s="3">
        <v>13</v>
      </c>
      <c r="D20" s="3" t="str">
        <f>VLOOKUP(C20,テーブル!$E$3:$G$6,2,0)</f>
        <v>大川百貨店</v>
      </c>
      <c r="E20" s="40">
        <v>252</v>
      </c>
      <c r="F20" s="30">
        <f>ROUNDUP(VLOOKUP(A20,テーブル!$A$3:$C$8,3,0)*(1-VLOOKUP(E20,テーブル!$I$4:$K$6,MOD(A20,10)+1,1)),-1)</f>
        <v>720</v>
      </c>
      <c r="G20" s="31">
        <f t="shared" si="0"/>
        <v>181440</v>
      </c>
      <c r="H20" s="37">
        <f>ROUND(G20*INDEX(テーブル!$N$4:$Q$6,MATCH(G20,テーブル!$M$4:$M$6,1),MATCH(E20,テーブル!$N$3:$Q$3,1)),-2)</f>
        <v>10300</v>
      </c>
      <c r="I20" s="17"/>
      <c r="J20"/>
      <c r="K20"/>
      <c r="L20"/>
      <c r="M20"/>
    </row>
    <row r="21" spans="1:13">
      <c r="A21" s="2">
        <v>301</v>
      </c>
      <c r="B21" s="14" t="str">
        <f>VLOOKUP(A21,テーブル!$A$3:$C$8,2,0)</f>
        <v>Ｅ商品</v>
      </c>
      <c r="C21" s="3">
        <v>14</v>
      </c>
      <c r="D21" s="3" t="str">
        <f>VLOOKUP(C21,テーブル!$E$3:$G$6,2,0)</f>
        <v>ＡＢカメラ</v>
      </c>
      <c r="E21" s="40">
        <v>225</v>
      </c>
      <c r="F21" s="30">
        <f>ROUNDUP(VLOOKUP(A21,テーブル!$A$3:$C$8,3,0)*(1-VLOOKUP(E21,テーブル!$I$4:$K$6,MOD(A21,10)+1,1)),-1)</f>
        <v>720</v>
      </c>
      <c r="G21" s="31">
        <f t="shared" si="0"/>
        <v>162000</v>
      </c>
      <c r="H21" s="37">
        <f>ROUND(G21*INDEX(テーブル!$N$4:$Q$6,MATCH(G21,テーブル!$M$4:$M$6,1),MATCH(E21,テーブル!$N$3:$Q$3,1)),-2)</f>
        <v>8700</v>
      </c>
      <c r="I21" s="17"/>
      <c r="J21"/>
      <c r="K21"/>
      <c r="L21"/>
      <c r="M21"/>
    </row>
    <row r="22" spans="1:13">
      <c r="A22" s="2">
        <v>302</v>
      </c>
      <c r="B22" s="14" t="str">
        <f>VLOOKUP(A22,テーブル!$A$3:$C$8,2,0)</f>
        <v>Ｆ商品</v>
      </c>
      <c r="C22" s="3">
        <v>11</v>
      </c>
      <c r="D22" s="3" t="str">
        <f>VLOOKUP(C22,テーブル!$E$3:$G$6,2,0)</f>
        <v>小野田電機</v>
      </c>
      <c r="E22" s="40">
        <v>259</v>
      </c>
      <c r="F22" s="30">
        <f>ROUNDUP(VLOOKUP(A22,テーブル!$A$3:$C$8,3,0)*(1-VLOOKUP(E22,テーブル!$I$4:$K$6,MOD(A22,10)+1,1)),-1)</f>
        <v>1710</v>
      </c>
      <c r="G22" s="31">
        <f t="shared" si="0"/>
        <v>442890</v>
      </c>
      <c r="H22" s="37">
        <f>ROUND(G22*INDEX(テーブル!$N$4:$Q$6,MATCH(G22,テーブル!$M$4:$M$6,1),MATCH(E22,テーブル!$N$3:$Q$3,1)),-2)</f>
        <v>21700</v>
      </c>
      <c r="I22" s="17"/>
      <c r="J22"/>
      <c r="K22"/>
      <c r="L22"/>
      <c r="M22"/>
    </row>
    <row r="23" spans="1:13">
      <c r="A23" s="2">
        <v>302</v>
      </c>
      <c r="B23" s="14" t="str">
        <f>VLOOKUP(A23,テーブル!$A$3:$C$8,2,0)</f>
        <v>Ｆ商品</v>
      </c>
      <c r="C23" s="3">
        <v>12</v>
      </c>
      <c r="D23" s="3" t="str">
        <f>VLOOKUP(C23,テーブル!$E$3:$G$6,2,0)</f>
        <v>サクラ堂</v>
      </c>
      <c r="E23" s="40">
        <v>133</v>
      </c>
      <c r="F23" s="30">
        <f>ROUNDUP(VLOOKUP(A23,テーブル!$A$3:$C$8,3,0)*(1-VLOOKUP(E23,テーブル!$I$4:$K$6,MOD(A23,10)+1,1)),-1)</f>
        <v>1830</v>
      </c>
      <c r="G23" s="31">
        <f t="shared" si="0"/>
        <v>243390</v>
      </c>
      <c r="H23" s="37">
        <f>ROUND(G23*INDEX(テーブル!$N$4:$Q$6,MATCH(G23,テーブル!$M$4:$M$6,1),MATCH(E23,テーブル!$N$3:$Q$3,1)),-2)</f>
        <v>10700</v>
      </c>
      <c r="I23" s="17"/>
      <c r="J23"/>
      <c r="K23"/>
      <c r="L23"/>
      <c r="M23"/>
    </row>
    <row r="24" spans="1:13">
      <c r="A24" s="2">
        <v>302</v>
      </c>
      <c r="B24" s="14" t="str">
        <f>VLOOKUP(A24,テーブル!$A$3:$C$8,2,0)</f>
        <v>Ｆ商品</v>
      </c>
      <c r="C24" s="3">
        <v>13</v>
      </c>
      <c r="D24" s="3" t="str">
        <f>VLOOKUP(C24,テーブル!$E$3:$G$6,2,0)</f>
        <v>大川百貨店</v>
      </c>
      <c r="E24" s="40">
        <v>173</v>
      </c>
      <c r="F24" s="30">
        <f>ROUNDUP(VLOOKUP(A24,テーブル!$A$3:$C$8,3,0)*(1-VLOOKUP(E24,テーブル!$I$4:$K$6,MOD(A24,10)+1,1)),-1)</f>
        <v>1780</v>
      </c>
      <c r="G24" s="31">
        <f t="shared" si="0"/>
        <v>307940</v>
      </c>
      <c r="H24" s="37">
        <f>ROUND(G24*INDEX(テーブル!$N$4:$Q$6,MATCH(G24,テーブル!$M$4:$M$6,1),MATCH(E24,テーブル!$N$3:$Q$3,1)),-2)</f>
        <v>14500</v>
      </c>
      <c r="I24" s="17"/>
      <c r="J24"/>
      <c r="K24"/>
      <c r="L24"/>
      <c r="M24"/>
    </row>
    <row r="25" spans="1:13">
      <c r="A25" s="2">
        <v>302</v>
      </c>
      <c r="B25" s="14" t="str">
        <f>VLOOKUP(A25,テーブル!$A$3:$C$8,2,0)</f>
        <v>Ｆ商品</v>
      </c>
      <c r="C25" s="3">
        <v>14</v>
      </c>
      <c r="D25" s="3" t="str">
        <f>VLOOKUP(C25,テーブル!$E$3:$G$6,2,0)</f>
        <v>ＡＢカメラ</v>
      </c>
      <c r="E25" s="40">
        <v>219</v>
      </c>
      <c r="F25" s="30">
        <f>ROUNDUP(VLOOKUP(A25,テーブル!$A$3:$C$8,3,0)*(1-VLOOKUP(E25,テーブル!$I$4:$K$6,MOD(A25,10)+1,1)),-1)</f>
        <v>1710</v>
      </c>
      <c r="G25" s="31">
        <f t="shared" si="0"/>
        <v>374490</v>
      </c>
      <c r="H25" s="37">
        <f>ROUND(G25*INDEX(テーブル!$N$4:$Q$6,MATCH(G25,テーブル!$M$4:$M$6,1),MATCH(E25,テーブル!$N$3:$Q$3,1)),-2)</f>
        <v>17200</v>
      </c>
      <c r="I25" s="17"/>
      <c r="J25"/>
      <c r="K25"/>
      <c r="L25"/>
      <c r="M25"/>
    </row>
    <row r="26" spans="1:13">
      <c r="A26" s="2"/>
      <c r="B26" s="3"/>
      <c r="C26" s="3"/>
      <c r="D26" s="3"/>
      <c r="E26" s="3"/>
      <c r="F26" s="3"/>
      <c r="G26" s="3"/>
      <c r="H26" s="6"/>
      <c r="J26"/>
      <c r="K26"/>
      <c r="L26"/>
      <c r="M26"/>
    </row>
    <row r="27" spans="1:13" ht="14.25" thickBot="1">
      <c r="A27" s="7"/>
      <c r="B27" s="33" t="s">
        <v>1</v>
      </c>
      <c r="C27" s="34"/>
      <c r="D27" s="8"/>
      <c r="E27" s="35">
        <f>SUM(E2:E25)</f>
        <v>4516</v>
      </c>
      <c r="F27" s="35"/>
      <c r="G27" s="35">
        <f>SUM(G2:G25)</f>
        <v>6745610</v>
      </c>
      <c r="H27" s="36">
        <f>SUM(H2:H25)</f>
        <v>315100</v>
      </c>
      <c r="I27" t="s">
        <v>37</v>
      </c>
    </row>
    <row r="29" spans="1:13">
      <c r="F29" s="17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29"/>
  <sheetViews>
    <sheetView zoomScaleNormal="100" workbookViewId="0"/>
  </sheetViews>
  <sheetFormatPr defaultRowHeight="13.5"/>
  <cols>
    <col min="1" max="3" width="7.5" style="1" bestFit="1" customWidth="1"/>
    <col min="4" max="4" width="11.625" style="1" bestFit="1" customWidth="1"/>
    <col min="5" max="5" width="7.5" style="1" customWidth="1"/>
    <col min="6" max="6" width="6.5" style="1" bestFit="1" customWidth="1"/>
    <col min="7" max="7" width="10.5" style="1" bestFit="1" customWidth="1"/>
    <col min="8" max="8" width="8.5" style="1" bestFit="1" customWidth="1"/>
    <col min="9" max="16384" width="9" style="1"/>
  </cols>
  <sheetData>
    <row r="1" spans="1:11">
      <c r="A1" s="11" t="s">
        <v>3</v>
      </c>
      <c r="B1" s="28" t="s">
        <v>4</v>
      </c>
      <c r="C1" s="28" t="s">
        <v>6</v>
      </c>
      <c r="D1" s="28" t="s">
        <v>7</v>
      </c>
      <c r="E1" s="28" t="s">
        <v>8</v>
      </c>
      <c r="F1" s="28" t="s">
        <v>26</v>
      </c>
      <c r="G1" s="28" t="s">
        <v>9</v>
      </c>
      <c r="H1" s="29" t="s">
        <v>33</v>
      </c>
    </row>
    <row r="2" spans="1:11">
      <c r="A2" s="2">
        <v>101</v>
      </c>
      <c r="B2" s="14" t="str">
        <f>VLOOKUP(A2,テーブル!$A$3:$C$8,2,0)</f>
        <v>Ａ商品</v>
      </c>
      <c r="C2" s="3">
        <v>11</v>
      </c>
      <c r="D2" s="3" t="str">
        <f>VLOOKUP(C2,テーブル!$E$3:$G$6,2,0)</f>
        <v>小野田電機</v>
      </c>
      <c r="E2" s="40">
        <v>161</v>
      </c>
      <c r="F2" s="30">
        <f>ROUNDUP(VLOOKUP(A2,テーブル!$A$3:$C$8,3,0)*(1-VLOOKUP(E2,テーブル!$I$4:$K$6,MOD(A2,10)+1,1)),-1)</f>
        <v>1300</v>
      </c>
      <c r="G2" s="32">
        <f>F2*E2</f>
        <v>209300</v>
      </c>
      <c r="H2" s="37">
        <f>ROUND(G2*INDEX(テーブル!$N$4:$Q$6,MATCH(G2,テーブル!$M$4:$M$6,1),MATCH(E2,テーブル!$N$3:$Q$3,1)),-2)</f>
        <v>9800</v>
      </c>
      <c r="J2"/>
      <c r="K2"/>
    </row>
    <row r="3" spans="1:11">
      <c r="A3" s="2">
        <v>101</v>
      </c>
      <c r="B3" s="14" t="str">
        <f>VLOOKUP(A3,テーブル!$A$3:$C$8,2,0)</f>
        <v>Ａ商品</v>
      </c>
      <c r="C3" s="3">
        <v>12</v>
      </c>
      <c r="D3" s="3" t="str">
        <f>VLOOKUP(C3,テーブル!$E$3:$G$6,2,0)</f>
        <v>サクラ堂</v>
      </c>
      <c r="E3" s="40">
        <v>248</v>
      </c>
      <c r="F3" s="30">
        <f>ROUNDUP(VLOOKUP(A3,テーブル!$A$3:$C$8,3,0)*(1-VLOOKUP(E3,テーブル!$I$4:$K$6,MOD(A3,10)+1,1)),-1)</f>
        <v>1250</v>
      </c>
      <c r="G3" s="32">
        <f t="shared" ref="G3:G25" si="0">F3*E3</f>
        <v>310000</v>
      </c>
      <c r="H3" s="37">
        <f>ROUND(G3*INDEX(テーブル!$N$4:$Q$6,MATCH(G3,テーブル!$M$4:$M$6,1),MATCH(E3,テーブル!$N$3:$Q$3,1)),-2)</f>
        <v>15500</v>
      </c>
      <c r="J3"/>
      <c r="K3"/>
    </row>
    <row r="4" spans="1:11">
      <c r="A4" s="2">
        <v>101</v>
      </c>
      <c r="B4" s="14" t="str">
        <f>VLOOKUP(A4,テーブル!$A$3:$C$8,2,0)</f>
        <v>Ａ商品</v>
      </c>
      <c r="C4" s="3">
        <v>13</v>
      </c>
      <c r="D4" s="3" t="str">
        <f>VLOOKUP(C4,テーブル!$E$3:$G$6,2,0)</f>
        <v>大川百貨店</v>
      </c>
      <c r="E4" s="40">
        <v>199</v>
      </c>
      <c r="F4" s="30">
        <f>ROUNDUP(VLOOKUP(A4,テーブル!$A$3:$C$8,3,0)*(1-VLOOKUP(E4,テーブル!$I$4:$K$6,MOD(A4,10)+1,1)),-1)</f>
        <v>1300</v>
      </c>
      <c r="G4" s="32">
        <f t="shared" si="0"/>
        <v>258700</v>
      </c>
      <c r="H4" s="37">
        <f>ROUND(G4*INDEX(テーブル!$N$4:$Q$6,MATCH(G4,テーブル!$M$4:$M$6,1),MATCH(E4,テーブル!$N$3:$Q$3,1)),-2)</f>
        <v>12200</v>
      </c>
      <c r="J4"/>
      <c r="K4"/>
    </row>
    <row r="5" spans="1:11">
      <c r="A5" s="2">
        <v>101</v>
      </c>
      <c r="B5" s="14" t="str">
        <f>VLOOKUP(A5,テーブル!$A$3:$C$8,2,0)</f>
        <v>Ａ商品</v>
      </c>
      <c r="C5" s="3">
        <v>14</v>
      </c>
      <c r="D5" s="3" t="str">
        <f>VLOOKUP(C5,テーブル!$E$3:$G$6,2,0)</f>
        <v>ＡＢカメラ</v>
      </c>
      <c r="E5" s="40">
        <v>210</v>
      </c>
      <c r="F5" s="30">
        <f>ROUNDUP(VLOOKUP(A5,テーブル!$A$3:$C$8,3,0)*(1-VLOOKUP(E5,テーブル!$I$4:$K$6,MOD(A5,10)+1,1)),-1)</f>
        <v>1250</v>
      </c>
      <c r="G5" s="32">
        <f t="shared" si="0"/>
        <v>262500</v>
      </c>
      <c r="H5" s="37">
        <f>ROUND(G5*INDEX(テーブル!$N$4:$Q$6,MATCH(G5,テーブル!$M$4:$M$6,1),MATCH(E5,テーブル!$N$3:$Q$3,1)),-2)</f>
        <v>13100</v>
      </c>
      <c r="J5"/>
      <c r="K5"/>
    </row>
    <row r="6" spans="1:11">
      <c r="A6" s="2">
        <v>102</v>
      </c>
      <c r="B6" s="14" t="str">
        <f>VLOOKUP(A6,テーブル!$A$3:$C$8,2,0)</f>
        <v>Ｂ商品</v>
      </c>
      <c r="C6" s="3">
        <v>11</v>
      </c>
      <c r="D6" s="3" t="str">
        <f>VLOOKUP(C6,テーブル!$E$3:$G$6,2,0)</f>
        <v>小野田電機</v>
      </c>
      <c r="E6" s="40">
        <v>159</v>
      </c>
      <c r="F6" s="30">
        <f>ROUNDUP(VLOOKUP(A6,テーブル!$A$3:$C$8,3,0)*(1-VLOOKUP(E6,テーブル!$I$4:$K$6,MOD(A6,10)+1,1)),-1)</f>
        <v>2350</v>
      </c>
      <c r="G6" s="32">
        <f t="shared" si="0"/>
        <v>373650</v>
      </c>
      <c r="H6" s="37">
        <f>ROUND(G6*INDEX(テーブル!$N$4:$Q$6,MATCH(G6,テーブル!$M$4:$M$6,1),MATCH(E6,テーブル!$N$3:$Q$3,1)),-2)</f>
        <v>16100</v>
      </c>
      <c r="J6"/>
      <c r="K6"/>
    </row>
    <row r="7" spans="1:11">
      <c r="A7" s="2">
        <v>102</v>
      </c>
      <c r="B7" s="14" t="str">
        <f>VLOOKUP(A7,テーブル!$A$3:$C$8,2,0)</f>
        <v>Ｂ商品</v>
      </c>
      <c r="C7" s="3">
        <v>12</v>
      </c>
      <c r="D7" s="3" t="str">
        <f>VLOOKUP(C7,テーブル!$E$3:$G$6,2,0)</f>
        <v>サクラ堂</v>
      </c>
      <c r="E7" s="40">
        <v>298</v>
      </c>
      <c r="F7" s="30">
        <f>ROUNDUP(VLOOKUP(A7,テーブル!$A$3:$C$8,3,0)*(1-VLOOKUP(E7,テーブル!$I$4:$K$6,MOD(A7,10)+1,1)),-1)</f>
        <v>2260</v>
      </c>
      <c r="G7" s="32">
        <f t="shared" si="0"/>
        <v>673480</v>
      </c>
      <c r="H7" s="37">
        <f>ROUND(G7*INDEX(テーブル!$N$4:$Q$6,MATCH(G7,テーブル!$M$4:$M$6,1),MATCH(E7,テーブル!$N$3:$Q$3,1)),-2)</f>
        <v>33000</v>
      </c>
      <c r="J7"/>
      <c r="K7"/>
    </row>
    <row r="8" spans="1:11">
      <c r="A8" s="2">
        <v>102</v>
      </c>
      <c r="B8" s="14" t="str">
        <f>VLOOKUP(A8,テーブル!$A$3:$C$8,2,0)</f>
        <v>Ｂ商品</v>
      </c>
      <c r="C8" s="3">
        <v>13</v>
      </c>
      <c r="D8" s="3" t="str">
        <f>VLOOKUP(C8,テーブル!$E$3:$G$6,2,0)</f>
        <v>大川百貨店</v>
      </c>
      <c r="E8" s="40">
        <v>225</v>
      </c>
      <c r="F8" s="30">
        <f>ROUNDUP(VLOOKUP(A8,テーブル!$A$3:$C$8,3,0)*(1-VLOOKUP(E8,テーブル!$I$4:$K$6,MOD(A8,10)+1,1)),-1)</f>
        <v>2260</v>
      </c>
      <c r="G8" s="32">
        <f t="shared" si="0"/>
        <v>508500</v>
      </c>
      <c r="H8" s="37">
        <f>ROUND(G8*INDEX(テーブル!$N$4:$Q$6,MATCH(G8,テーブル!$M$4:$M$6,1),MATCH(E8,テーブル!$N$3:$Q$3,1)),-2)</f>
        <v>23400</v>
      </c>
      <c r="J8"/>
      <c r="K8"/>
    </row>
    <row r="9" spans="1:11">
      <c r="A9" s="2">
        <v>102</v>
      </c>
      <c r="B9" s="14" t="str">
        <f>VLOOKUP(A9,テーブル!$A$3:$C$8,2,0)</f>
        <v>Ｂ商品</v>
      </c>
      <c r="C9" s="3">
        <v>14</v>
      </c>
      <c r="D9" s="3" t="str">
        <f>VLOOKUP(C9,テーブル!$E$3:$G$6,2,0)</f>
        <v>ＡＢカメラ</v>
      </c>
      <c r="E9" s="40">
        <v>145</v>
      </c>
      <c r="F9" s="30">
        <f>ROUNDUP(VLOOKUP(A9,テーブル!$A$3:$C$8,3,0)*(1-VLOOKUP(E9,テーブル!$I$4:$K$6,MOD(A9,10)+1,1)),-1)</f>
        <v>2420</v>
      </c>
      <c r="G9" s="32">
        <f t="shared" si="0"/>
        <v>350900</v>
      </c>
      <c r="H9" s="37">
        <f>ROUND(G9*INDEX(テーブル!$N$4:$Q$6,MATCH(G9,テーブル!$M$4:$M$6,1),MATCH(E9,テーブル!$N$3:$Q$3,1)),-2)</f>
        <v>14000</v>
      </c>
      <c r="J9"/>
      <c r="K9"/>
    </row>
    <row r="10" spans="1:11">
      <c r="A10" s="2">
        <v>201</v>
      </c>
      <c r="B10" s="14" t="str">
        <f>VLOOKUP(A10,テーブル!$A$3:$C$8,2,0)</f>
        <v>Ｃ商品</v>
      </c>
      <c r="C10" s="3">
        <v>11</v>
      </c>
      <c r="D10" s="3" t="str">
        <f>VLOOKUP(C10,テーブル!$E$3:$G$6,2,0)</f>
        <v>小野田電機</v>
      </c>
      <c r="E10" s="40">
        <v>205</v>
      </c>
      <c r="F10" s="30">
        <f>ROUNDUP(VLOOKUP(A10,テーブル!$A$3:$C$8,3,0)*(1-VLOOKUP(E10,テーブル!$I$4:$K$6,MOD(A10,10)+1,1)),-1)</f>
        <v>940</v>
      </c>
      <c r="G10" s="32">
        <f t="shared" si="0"/>
        <v>192700</v>
      </c>
      <c r="H10" s="37">
        <f>ROUND(G10*INDEX(テーブル!$N$4:$Q$6,MATCH(G10,テーブル!$M$4:$M$6,1),MATCH(E10,テーブル!$N$3:$Q$3,1)),-2)</f>
        <v>10400</v>
      </c>
      <c r="J10"/>
      <c r="K10"/>
    </row>
    <row r="11" spans="1:11">
      <c r="A11" s="2">
        <v>201</v>
      </c>
      <c r="B11" s="14" t="str">
        <f>VLOOKUP(A11,テーブル!$A$3:$C$8,2,0)</f>
        <v>Ｃ商品</v>
      </c>
      <c r="C11" s="3">
        <v>12</v>
      </c>
      <c r="D11" s="3" t="str">
        <f>VLOOKUP(C11,テーブル!$E$3:$G$6,2,0)</f>
        <v>サクラ堂</v>
      </c>
      <c r="E11" s="40">
        <v>294</v>
      </c>
      <c r="F11" s="30">
        <f>ROUNDUP(VLOOKUP(A11,テーブル!$A$3:$C$8,3,0)*(1-VLOOKUP(E11,テーブル!$I$4:$K$6,MOD(A11,10)+1,1)),-1)</f>
        <v>940</v>
      </c>
      <c r="G11" s="32">
        <f t="shared" si="0"/>
        <v>276360</v>
      </c>
      <c r="H11" s="37">
        <f>ROUND(G11*INDEX(テーブル!$N$4:$Q$6,MATCH(G11,テーブル!$M$4:$M$6,1),MATCH(E11,テーブル!$N$3:$Q$3,1)),-2)</f>
        <v>14600</v>
      </c>
      <c r="J11"/>
      <c r="K11"/>
    </row>
    <row r="12" spans="1:11">
      <c r="A12" s="2">
        <v>201</v>
      </c>
      <c r="B12" s="14" t="str">
        <f>VLOOKUP(A12,テーブル!$A$3:$C$8,2,0)</f>
        <v>Ｃ商品</v>
      </c>
      <c r="C12" s="3">
        <v>13</v>
      </c>
      <c r="D12" s="3" t="str">
        <f>VLOOKUP(C12,テーブル!$E$3:$G$6,2,0)</f>
        <v>大川百貨店</v>
      </c>
      <c r="E12" s="40">
        <v>115</v>
      </c>
      <c r="F12" s="30">
        <f>ROUNDUP(VLOOKUP(A12,テーブル!$A$3:$C$8,3,0)*(1-VLOOKUP(E12,テーブル!$I$4:$K$6,MOD(A12,10)+1,1)),-1)</f>
        <v>1000</v>
      </c>
      <c r="G12" s="32">
        <f t="shared" si="0"/>
        <v>115000</v>
      </c>
      <c r="H12" s="37">
        <f>ROUND(G12*INDEX(テーブル!$N$4:$Q$6,MATCH(G12,テーブル!$M$4:$M$6,1),MATCH(E12,テーブル!$N$3:$Q$3,1)),-2)</f>
        <v>5500</v>
      </c>
      <c r="J12"/>
      <c r="K12"/>
    </row>
    <row r="13" spans="1:11">
      <c r="A13" s="2">
        <v>201</v>
      </c>
      <c r="B13" s="14" t="str">
        <f>VLOOKUP(A13,テーブル!$A$3:$C$8,2,0)</f>
        <v>Ｃ商品</v>
      </c>
      <c r="C13" s="3">
        <v>14</v>
      </c>
      <c r="D13" s="3" t="str">
        <f>VLOOKUP(C13,テーブル!$E$3:$G$6,2,0)</f>
        <v>ＡＢカメラ</v>
      </c>
      <c r="E13" s="40">
        <v>211</v>
      </c>
      <c r="F13" s="30">
        <f>ROUNDUP(VLOOKUP(A13,テーブル!$A$3:$C$8,3,0)*(1-VLOOKUP(E13,テーブル!$I$4:$K$6,MOD(A13,10)+1,1)),-1)</f>
        <v>940</v>
      </c>
      <c r="G13" s="32">
        <f t="shared" si="0"/>
        <v>198340</v>
      </c>
      <c r="H13" s="37">
        <f>ROUND(G13*INDEX(テーブル!$N$4:$Q$6,MATCH(G13,テーブル!$M$4:$M$6,1),MATCH(E13,テーブル!$N$3:$Q$3,1)),-2)</f>
        <v>10700</v>
      </c>
      <c r="J13"/>
      <c r="K13"/>
    </row>
    <row r="14" spans="1:11">
      <c r="A14" s="2">
        <v>202</v>
      </c>
      <c r="B14" s="14" t="str">
        <f>VLOOKUP(A14,テーブル!$A$3:$C$8,2,0)</f>
        <v>Ｄ商品</v>
      </c>
      <c r="C14" s="3">
        <v>11</v>
      </c>
      <c r="D14" s="3" t="str">
        <f>VLOOKUP(C14,テーブル!$E$3:$G$6,2,0)</f>
        <v>小野田電機</v>
      </c>
      <c r="E14" s="40">
        <v>170</v>
      </c>
      <c r="F14" s="30">
        <f>ROUNDUP(VLOOKUP(A14,テーブル!$A$3:$C$8,3,0)*(1-VLOOKUP(E14,テーブル!$I$4:$K$6,MOD(A14,10)+1,1)),-1)</f>
        <v>2020</v>
      </c>
      <c r="G14" s="32">
        <f t="shared" si="0"/>
        <v>343400</v>
      </c>
      <c r="H14" s="37">
        <f>ROUND(G14*INDEX(テーブル!$N$4:$Q$6,MATCH(G14,テーブル!$M$4:$M$6,1),MATCH(E14,テーブル!$N$3:$Q$3,1)),-2)</f>
        <v>16100</v>
      </c>
      <c r="J14"/>
      <c r="K14"/>
    </row>
    <row r="15" spans="1:11">
      <c r="A15" s="2">
        <v>202</v>
      </c>
      <c r="B15" s="14" t="str">
        <f>VLOOKUP(A15,テーブル!$A$3:$C$8,2,0)</f>
        <v>Ｄ商品</v>
      </c>
      <c r="C15" s="3">
        <v>12</v>
      </c>
      <c r="D15" s="3" t="str">
        <f>VLOOKUP(C15,テーブル!$E$3:$G$6,2,0)</f>
        <v>サクラ堂</v>
      </c>
      <c r="E15" s="40">
        <v>148</v>
      </c>
      <c r="F15" s="30">
        <f>ROUNDUP(VLOOKUP(A15,テーブル!$A$3:$C$8,3,0)*(1-VLOOKUP(E15,テーブル!$I$4:$K$6,MOD(A15,10)+1,1)),-1)</f>
        <v>2070</v>
      </c>
      <c r="G15" s="32">
        <f t="shared" si="0"/>
        <v>306360</v>
      </c>
      <c r="H15" s="37">
        <f>ROUND(G15*INDEX(テーブル!$N$4:$Q$6,MATCH(G15,テーブル!$M$4:$M$6,1),MATCH(E15,テーブル!$N$3:$Q$3,1)),-2)</f>
        <v>13500</v>
      </c>
      <c r="J15"/>
      <c r="K15"/>
    </row>
    <row r="16" spans="1:11">
      <c r="A16" s="2">
        <v>202</v>
      </c>
      <c r="B16" s="14" t="str">
        <f>VLOOKUP(A16,テーブル!$A$3:$C$8,2,0)</f>
        <v>Ｄ商品</v>
      </c>
      <c r="C16" s="3">
        <v>13</v>
      </c>
      <c r="D16" s="3" t="str">
        <f>VLOOKUP(C16,テーブル!$E$3:$G$6,2,0)</f>
        <v>大川百貨店</v>
      </c>
      <c r="E16" s="40">
        <v>205</v>
      </c>
      <c r="F16" s="30">
        <f>ROUNDUP(VLOOKUP(A16,テーブル!$A$3:$C$8,3,0)*(1-VLOOKUP(E16,テーブル!$I$4:$K$6,MOD(A16,10)+1,1)),-1)</f>
        <v>1940</v>
      </c>
      <c r="G16" s="32">
        <f t="shared" si="0"/>
        <v>397700</v>
      </c>
      <c r="H16" s="37">
        <f>ROUND(G16*INDEX(テーブル!$N$4:$Q$6,MATCH(G16,テーブル!$M$4:$M$6,1),MATCH(E16,テーブル!$N$3:$Q$3,1)),-2)</f>
        <v>18300</v>
      </c>
      <c r="J16"/>
      <c r="K16"/>
    </row>
    <row r="17" spans="1:11">
      <c r="A17" s="2">
        <v>202</v>
      </c>
      <c r="B17" s="14" t="str">
        <f>VLOOKUP(A17,テーブル!$A$3:$C$8,2,0)</f>
        <v>Ｄ商品</v>
      </c>
      <c r="C17" s="3">
        <v>14</v>
      </c>
      <c r="D17" s="3" t="str">
        <f>VLOOKUP(C17,テーブル!$E$3:$G$6,2,0)</f>
        <v>ＡＢカメラ</v>
      </c>
      <c r="E17" s="40">
        <v>174</v>
      </c>
      <c r="F17" s="30">
        <f>ROUNDUP(VLOOKUP(A17,テーブル!$A$3:$C$8,3,0)*(1-VLOOKUP(E17,テーブル!$I$4:$K$6,MOD(A17,10)+1,1)),-1)</f>
        <v>2020</v>
      </c>
      <c r="G17" s="32">
        <f t="shared" si="0"/>
        <v>351480</v>
      </c>
      <c r="H17" s="37">
        <f>ROUND(G17*INDEX(テーブル!$N$4:$Q$6,MATCH(G17,テーブル!$M$4:$M$6,1),MATCH(E17,テーブル!$N$3:$Q$3,1)),-2)</f>
        <v>15100</v>
      </c>
      <c r="J17"/>
      <c r="K17"/>
    </row>
    <row r="18" spans="1:11">
      <c r="A18" s="2">
        <v>301</v>
      </c>
      <c r="B18" s="14" t="str">
        <f>VLOOKUP(A18,テーブル!$A$3:$C$8,2,0)</f>
        <v>Ｅ商品</v>
      </c>
      <c r="C18" s="3">
        <v>11</v>
      </c>
      <c r="D18" s="3" t="str">
        <f>VLOOKUP(C18,テーブル!$E$3:$G$6,2,0)</f>
        <v>小野田電機</v>
      </c>
      <c r="E18" s="40">
        <v>113</v>
      </c>
      <c r="F18" s="30">
        <f>ROUNDUP(VLOOKUP(A18,テーブル!$A$3:$C$8,3,0)*(1-VLOOKUP(E18,テーブル!$I$4:$K$6,MOD(A18,10)+1,1)),-1)</f>
        <v>770</v>
      </c>
      <c r="G18" s="32">
        <f t="shared" si="0"/>
        <v>87010</v>
      </c>
      <c r="H18" s="37">
        <f>ROUND(G18*INDEX(テーブル!$N$4:$Q$6,MATCH(G18,テーブル!$M$4:$M$6,1),MATCH(E18,テーブル!$N$3:$Q$3,1)),-2)</f>
        <v>4200</v>
      </c>
      <c r="J18"/>
      <c r="K18"/>
    </row>
    <row r="19" spans="1:11">
      <c r="A19" s="2">
        <v>301</v>
      </c>
      <c r="B19" s="14" t="str">
        <f>VLOOKUP(A19,テーブル!$A$3:$C$8,2,0)</f>
        <v>Ｅ商品</v>
      </c>
      <c r="C19" s="3">
        <v>12</v>
      </c>
      <c r="D19" s="3" t="str">
        <f>VLOOKUP(C19,テーブル!$E$3:$G$6,2,0)</f>
        <v>サクラ堂</v>
      </c>
      <c r="E19" s="40">
        <v>196</v>
      </c>
      <c r="F19" s="30">
        <f>ROUNDUP(VLOOKUP(A19,テーブル!$A$3:$C$8,3,0)*(1-VLOOKUP(E19,テーブル!$I$4:$K$6,MOD(A19,10)+1,1)),-1)</f>
        <v>750</v>
      </c>
      <c r="G19" s="32">
        <f t="shared" si="0"/>
        <v>147000</v>
      </c>
      <c r="H19" s="37">
        <f>ROUND(G19*INDEX(テーブル!$N$4:$Q$6,MATCH(G19,テーブル!$M$4:$M$6,1),MATCH(E19,テーブル!$N$3:$Q$3,1)),-2)</f>
        <v>7500</v>
      </c>
      <c r="J19"/>
      <c r="K19"/>
    </row>
    <row r="20" spans="1:11">
      <c r="A20" s="2">
        <v>301</v>
      </c>
      <c r="B20" s="14" t="str">
        <f>VLOOKUP(A20,テーブル!$A$3:$C$8,2,0)</f>
        <v>Ｅ商品</v>
      </c>
      <c r="C20" s="3">
        <v>13</v>
      </c>
      <c r="D20" s="3" t="str">
        <f>VLOOKUP(C20,テーブル!$E$3:$G$6,2,0)</f>
        <v>大川百貨店</v>
      </c>
      <c r="E20" s="40">
        <v>252</v>
      </c>
      <c r="F20" s="30">
        <f>ROUNDUP(VLOOKUP(A20,テーブル!$A$3:$C$8,3,0)*(1-VLOOKUP(E20,テーブル!$I$4:$K$6,MOD(A20,10)+1,1)),-1)</f>
        <v>720</v>
      </c>
      <c r="G20" s="32">
        <f t="shared" si="0"/>
        <v>181440</v>
      </c>
      <c r="H20" s="37">
        <f>ROUND(G20*INDEX(テーブル!$N$4:$Q$6,MATCH(G20,テーブル!$M$4:$M$6,1),MATCH(E20,テーブル!$N$3:$Q$3,1)),-2)</f>
        <v>10300</v>
      </c>
      <c r="J20"/>
      <c r="K20"/>
    </row>
    <row r="21" spans="1:11">
      <c r="A21" s="2">
        <v>301</v>
      </c>
      <c r="B21" s="14" t="str">
        <f>VLOOKUP(A21,テーブル!$A$3:$C$8,2,0)</f>
        <v>Ｅ商品</v>
      </c>
      <c r="C21" s="3">
        <v>14</v>
      </c>
      <c r="D21" s="3" t="str">
        <f>VLOOKUP(C21,テーブル!$E$3:$G$6,2,0)</f>
        <v>ＡＢカメラ</v>
      </c>
      <c r="E21" s="40">
        <v>154</v>
      </c>
      <c r="F21" s="30">
        <f>ROUNDUP(VLOOKUP(A21,テーブル!$A$3:$C$8,3,0)*(1-VLOOKUP(E21,テーブル!$I$4:$K$6,MOD(A21,10)+1,1)),-1)</f>
        <v>750</v>
      </c>
      <c r="G21" s="32">
        <f t="shared" si="0"/>
        <v>115500</v>
      </c>
      <c r="H21" s="37">
        <f>ROUND(G21*INDEX(テーブル!$N$4:$Q$6,MATCH(G21,テーブル!$M$4:$M$6,1),MATCH(E21,テーブル!$N$3:$Q$3,1)),-2)</f>
        <v>5900</v>
      </c>
      <c r="J21"/>
      <c r="K21"/>
    </row>
    <row r="22" spans="1:11">
      <c r="A22" s="2">
        <v>302</v>
      </c>
      <c r="B22" s="14" t="str">
        <f>VLOOKUP(A22,テーブル!$A$3:$C$8,2,0)</f>
        <v>Ｆ商品</v>
      </c>
      <c r="C22" s="3">
        <v>11</v>
      </c>
      <c r="D22" s="3" t="str">
        <f>VLOOKUP(C22,テーブル!$E$3:$G$6,2,0)</f>
        <v>小野田電機</v>
      </c>
      <c r="E22" s="40">
        <v>274</v>
      </c>
      <c r="F22" s="30">
        <f>ROUNDUP(VLOOKUP(A22,テーブル!$A$3:$C$8,3,0)*(1-VLOOKUP(E22,テーブル!$I$4:$K$6,MOD(A22,10)+1,1)),-1)</f>
        <v>1710</v>
      </c>
      <c r="G22" s="32">
        <f t="shared" si="0"/>
        <v>468540</v>
      </c>
      <c r="H22" s="37">
        <f>ROUND(G22*INDEX(テーブル!$N$4:$Q$6,MATCH(G22,テーブル!$M$4:$M$6,1),MATCH(E22,テーブル!$N$3:$Q$3,1)),-2)</f>
        <v>23000</v>
      </c>
      <c r="J22"/>
      <c r="K22"/>
    </row>
    <row r="23" spans="1:11">
      <c r="A23" s="2">
        <v>302</v>
      </c>
      <c r="B23" s="14" t="str">
        <f>VLOOKUP(A23,テーブル!$A$3:$C$8,2,0)</f>
        <v>Ｆ商品</v>
      </c>
      <c r="C23" s="3">
        <v>12</v>
      </c>
      <c r="D23" s="3" t="str">
        <f>VLOOKUP(C23,テーブル!$E$3:$G$6,2,0)</f>
        <v>サクラ堂</v>
      </c>
      <c r="E23" s="40">
        <v>143</v>
      </c>
      <c r="F23" s="30">
        <f>ROUNDUP(VLOOKUP(A23,テーブル!$A$3:$C$8,3,0)*(1-VLOOKUP(E23,テーブル!$I$4:$K$6,MOD(A23,10)+1,1)),-1)</f>
        <v>1830</v>
      </c>
      <c r="G23" s="32">
        <f t="shared" si="0"/>
        <v>261690</v>
      </c>
      <c r="H23" s="37">
        <f>ROUND(G23*INDEX(テーブル!$N$4:$Q$6,MATCH(G23,テーブル!$M$4:$M$6,1),MATCH(E23,テーブル!$N$3:$Q$3,1)),-2)</f>
        <v>11500</v>
      </c>
      <c r="J23"/>
      <c r="K23"/>
    </row>
    <row r="24" spans="1:11">
      <c r="A24" s="2">
        <v>302</v>
      </c>
      <c r="B24" s="14" t="str">
        <f>VLOOKUP(A24,テーブル!$A$3:$C$8,2,0)</f>
        <v>Ｆ商品</v>
      </c>
      <c r="C24" s="3">
        <v>13</v>
      </c>
      <c r="D24" s="3" t="str">
        <f>VLOOKUP(C24,テーブル!$E$3:$G$6,2,0)</f>
        <v>大川百貨店</v>
      </c>
      <c r="E24" s="40">
        <v>101</v>
      </c>
      <c r="F24" s="30">
        <f>ROUNDUP(VLOOKUP(A24,テーブル!$A$3:$C$8,3,0)*(1-VLOOKUP(E24,テーブル!$I$4:$K$6,MOD(A24,10)+1,1)),-1)</f>
        <v>1830</v>
      </c>
      <c r="G24" s="32">
        <f t="shared" si="0"/>
        <v>184830</v>
      </c>
      <c r="H24" s="37">
        <f>ROUND(G24*INDEX(テーブル!$N$4:$Q$6,MATCH(G24,テーブル!$M$4:$M$6,1),MATCH(E24,テーブル!$N$3:$Q$3,1)),-2)</f>
        <v>8900</v>
      </c>
      <c r="J24"/>
      <c r="K24"/>
    </row>
    <row r="25" spans="1:11">
      <c r="A25" s="2">
        <v>302</v>
      </c>
      <c r="B25" s="14" t="str">
        <f>VLOOKUP(A25,テーブル!$A$3:$C$8,2,0)</f>
        <v>Ｆ商品</v>
      </c>
      <c r="C25" s="3">
        <v>14</v>
      </c>
      <c r="D25" s="3" t="str">
        <f>VLOOKUP(C25,テーブル!$E$3:$G$6,2,0)</f>
        <v>ＡＢカメラ</v>
      </c>
      <c r="E25" s="40">
        <v>230</v>
      </c>
      <c r="F25" s="30">
        <f>ROUNDUP(VLOOKUP(A25,テーブル!$A$3:$C$8,3,0)*(1-VLOOKUP(E25,テーブル!$I$4:$K$6,MOD(A25,10)+1,1)),-1)</f>
        <v>1710</v>
      </c>
      <c r="G25" s="32">
        <f t="shared" si="0"/>
        <v>393300</v>
      </c>
      <c r="H25" s="37">
        <f>ROUND(G25*INDEX(テーブル!$N$4:$Q$6,MATCH(G25,テーブル!$M$4:$M$6,1),MATCH(E25,テーブル!$N$3:$Q$3,1)),-2)</f>
        <v>18100</v>
      </c>
      <c r="J25"/>
      <c r="K25"/>
    </row>
    <row r="26" spans="1:11">
      <c r="A26" s="2"/>
      <c r="B26" s="3"/>
      <c r="C26" s="3"/>
      <c r="D26" s="3"/>
      <c r="E26" s="3"/>
      <c r="F26" s="3"/>
      <c r="G26" s="3"/>
      <c r="H26" s="6"/>
    </row>
    <row r="27" spans="1:11" ht="14.25" thickBot="1">
      <c r="A27" s="7"/>
      <c r="B27" s="33" t="s">
        <v>1</v>
      </c>
      <c r="C27" s="34"/>
      <c r="D27" s="8"/>
      <c r="E27" s="35">
        <f>SUM(E2:E25)</f>
        <v>4630</v>
      </c>
      <c r="F27" s="35"/>
      <c r="G27" s="35">
        <f>SUM(G2:G25)</f>
        <v>6967680</v>
      </c>
      <c r="H27" s="36">
        <f>SUM(H2:H25)</f>
        <v>330700</v>
      </c>
      <c r="I27" t="s">
        <v>37</v>
      </c>
    </row>
    <row r="29" spans="1:11">
      <c r="E29" s="17"/>
      <c r="F29" s="17"/>
      <c r="G29" s="17"/>
      <c r="H29" s="17"/>
    </row>
  </sheetData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V35"/>
  <sheetViews>
    <sheetView zoomScaleNormal="100" workbookViewId="0">
      <selection sqref="A1:D1"/>
    </sheetView>
  </sheetViews>
  <sheetFormatPr defaultRowHeight="13.5"/>
  <cols>
    <col min="1" max="2" width="7.5" style="1" bestFit="1" customWidth="1"/>
    <col min="3" max="3" width="11.625" style="1" bestFit="1" customWidth="1"/>
    <col min="4" max="4" width="8.5" style="1" bestFit="1" customWidth="1"/>
    <col min="5" max="5" width="11.5" style="1" customWidth="1"/>
    <col min="6" max="6" width="7.5" style="1" bestFit="1" customWidth="1"/>
    <col min="7" max="7" width="11.625" style="1" bestFit="1" customWidth="1"/>
    <col min="8" max="8" width="7.5" style="1" customWidth="1"/>
    <col min="9" max="9" width="10.5" style="1" bestFit="1" customWidth="1"/>
    <col min="10" max="10" width="8.5" style="1" bestFit="1" customWidth="1"/>
    <col min="11" max="11" width="7.5" style="1" bestFit="1" customWidth="1"/>
    <col min="12" max="12" width="10.5" style="1" bestFit="1" customWidth="1"/>
    <col min="13" max="13" width="8.5" style="1" bestFit="1" customWidth="1"/>
    <col min="14" max="14" width="7.5" style="1" bestFit="1" customWidth="1"/>
    <col min="15" max="15" width="11.625" style="1" bestFit="1" customWidth="1"/>
    <col min="16" max="16" width="8.5" style="1" bestFit="1" customWidth="1"/>
    <col min="17" max="17" width="7.5" style="1" bestFit="1" customWidth="1"/>
    <col min="18" max="18" width="8.5" style="1" bestFit="1" customWidth="1"/>
    <col min="19" max="19" width="11.625" style="1" bestFit="1" customWidth="1"/>
    <col min="20" max="20" width="5.5" style="1" bestFit="1" customWidth="1"/>
    <col min="21" max="21" width="10.5" style="1" bestFit="1" customWidth="1"/>
    <col min="22" max="16384" width="9" style="1"/>
  </cols>
  <sheetData>
    <row r="1" spans="1:22" ht="14.25" thickBot="1">
      <c r="A1" s="63" t="s">
        <v>12</v>
      </c>
      <c r="B1" s="63"/>
      <c r="C1" s="63"/>
      <c r="D1" s="63"/>
      <c r="E1" s="15"/>
      <c r="F1" s="63" t="s">
        <v>15</v>
      </c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</row>
    <row r="2" spans="1:22">
      <c r="A2" s="11" t="s">
        <v>4</v>
      </c>
      <c r="B2" s="28" t="s">
        <v>8</v>
      </c>
      <c r="C2" s="28" t="s">
        <v>9</v>
      </c>
      <c r="D2" s="20" t="s">
        <v>33</v>
      </c>
      <c r="E2" s="12"/>
      <c r="F2" s="47"/>
      <c r="G2" s="48"/>
      <c r="H2" s="64" t="s">
        <v>34</v>
      </c>
      <c r="I2" s="64"/>
      <c r="J2" s="64"/>
      <c r="K2" s="64" t="s">
        <v>35</v>
      </c>
      <c r="L2" s="64"/>
      <c r="M2" s="64"/>
      <c r="N2" s="64" t="s">
        <v>36</v>
      </c>
      <c r="O2" s="64"/>
      <c r="P2" s="64"/>
      <c r="Q2" s="52"/>
      <c r="R2" s="52"/>
      <c r="S2" s="53"/>
      <c r="T2" s="54"/>
    </row>
    <row r="3" spans="1:22">
      <c r="A3" s="14" t="s">
        <v>19</v>
      </c>
      <c r="B3" s="5">
        <f>DSUM(前期!$A$1:$H$25,B$2,$A$12:$A$13)+DSUM(後期!$A$1:$H$25,B$2,$A$12:$A$13)</f>
        <v>1597</v>
      </c>
      <c r="C3" s="5">
        <f>DSUM(前期!$A$1:$H$25,C$2,$A$12:$A$13)+DSUM(後期!$A$1:$H$25,C$2,$A$12:$A$13)</f>
        <v>2041200</v>
      </c>
      <c r="D3" s="4">
        <f>DSUM(前期!$A$1:$H$25,D$2,$A$12:$A$13)+DSUM(後期!$A$1:$H$25,D$2,$A$12:$A$13)</f>
        <v>98500</v>
      </c>
      <c r="F3" s="45" t="s">
        <v>6</v>
      </c>
      <c r="G3" s="46" t="s">
        <v>7</v>
      </c>
      <c r="H3" s="13" t="s">
        <v>8</v>
      </c>
      <c r="I3" s="13" t="s">
        <v>9</v>
      </c>
      <c r="J3" s="23" t="s">
        <v>33</v>
      </c>
      <c r="K3" s="13" t="s">
        <v>8</v>
      </c>
      <c r="L3" s="13" t="s">
        <v>9</v>
      </c>
      <c r="M3" s="23" t="s">
        <v>33</v>
      </c>
      <c r="N3" s="13" t="s">
        <v>8</v>
      </c>
      <c r="O3" s="13" t="s">
        <v>9</v>
      </c>
      <c r="P3" s="23" t="s">
        <v>33</v>
      </c>
      <c r="Q3" s="49" t="s">
        <v>17</v>
      </c>
      <c r="R3" s="49" t="s">
        <v>14</v>
      </c>
      <c r="S3" s="50" t="s">
        <v>13</v>
      </c>
      <c r="T3" s="51" t="s">
        <v>11</v>
      </c>
      <c r="V3"/>
    </row>
    <row r="4" spans="1:22">
      <c r="A4" s="14" t="s">
        <v>20</v>
      </c>
      <c r="B4" s="5">
        <f>DSUM(前期!$A$1:$H$25,B$2,$B$12:$B$13)+DSUM(後期!$A$1:$H$25,B$2,$B$12:$B$13)</f>
        <v>1529</v>
      </c>
      <c r="C4" s="5">
        <f>DSUM(前期!$A$1:$H$25,C$2,$B$12:$B$13)+DSUM(後期!$A$1:$H$25,C$2,$B$12:$B$13)</f>
        <v>3555170</v>
      </c>
      <c r="D4" s="4">
        <f>DSUM(前期!$A$1:$H$25,D$2,$B$12:$B$13)+DSUM(後期!$A$1:$H$25,D$2,$B$12:$B$13)</f>
        <v>158100</v>
      </c>
      <c r="F4" s="2">
        <v>11</v>
      </c>
      <c r="G4" s="3" t="str">
        <f>VLOOKUP(F4,テーブル!$E$3:$G$6,2,0)</f>
        <v>小野田電機</v>
      </c>
      <c r="H4" s="5">
        <f ca="1">DSUM(INDIRECT($H$2&amp;"!$A$1:$H$25"),H$3,$F$11:$F$12)</f>
        <v>1105</v>
      </c>
      <c r="I4" s="5">
        <f ca="1">DSUM(INDIRECT($H$2&amp;"!$A$1:$H$25"),I$3,$F$11:$F$12)</f>
        <v>1657400</v>
      </c>
      <c r="J4" s="5">
        <f ca="1">DSUM(INDIRECT($H$2&amp;"!$A$1:$H$25"),J$3,$F$11:$F$12)</f>
        <v>77000</v>
      </c>
      <c r="K4" s="5">
        <f ca="1">DSUM(INDIRECT($K$2&amp;"!$A$1:$H$25"),K$3,$F$11:$F$12)</f>
        <v>1082</v>
      </c>
      <c r="L4" s="5">
        <f ca="1">DSUM(INDIRECT($K$2&amp;"!$A$1:$H$25"),L$3,$F$11:$F$12)</f>
        <v>1674600</v>
      </c>
      <c r="M4" s="5">
        <f ca="1">DSUM(INDIRECT($K$2&amp;"!$A$1:$H$25"),M$3,$F$11:$F$12)</f>
        <v>79600</v>
      </c>
      <c r="N4" s="5">
        <f ca="1">H4+K4</f>
        <v>2187</v>
      </c>
      <c r="O4" s="5">
        <f ca="1">I4+L4</f>
        <v>3332000</v>
      </c>
      <c r="P4" s="5">
        <f ca="1">J4+M4</f>
        <v>156600</v>
      </c>
      <c r="Q4" s="42">
        <f ca="1">ROUNDUP(O4/VLOOKUP(F4,テーブル!$E$3:$G$6,3,0),2)</f>
        <v>0.94000000000000006</v>
      </c>
      <c r="R4" s="5">
        <f ca="1">ROUNDDOWN(IF(OR(N4&gt;=2400,Q4&gt;=100%),O4*4.7%,O4*4.2%),0)</f>
        <v>139944</v>
      </c>
      <c r="S4" s="5">
        <f ca="1">O4+P4-R4</f>
        <v>3348656</v>
      </c>
      <c r="T4" s="56" t="str">
        <f ca="1">IF(S4&gt;=AVERAGE($S$4:$S$7),"Ｇ","")</f>
        <v/>
      </c>
      <c r="V4"/>
    </row>
    <row r="5" spans="1:22">
      <c r="A5" s="14" t="s">
        <v>21</v>
      </c>
      <c r="B5" s="5">
        <f>DSUM(前期!$A$1:$H$25,B$2,$C$12:$C$13)+DSUM(後期!$A$1:$H$25,B$2,$C$12:$C$13)</f>
        <v>1619</v>
      </c>
      <c r="C5" s="5">
        <f>DSUM(前期!$A$1:$H$25,C$2,$C$12:$C$13)+DSUM(後期!$A$1:$H$25,C$2,$C$12:$C$13)</f>
        <v>1544000</v>
      </c>
      <c r="D5" s="4">
        <f>DSUM(前期!$A$1:$H$25,D$2,$C$12:$C$13)+DSUM(後期!$A$1:$H$25,D$2,$C$12:$C$13)</f>
        <v>80700</v>
      </c>
      <c r="F5" s="2">
        <v>14</v>
      </c>
      <c r="G5" s="3" t="str">
        <f>VLOOKUP(F5,テーブル!$E$3:$G$6,2,0)</f>
        <v>ＡＢカメラ</v>
      </c>
      <c r="H5" s="5">
        <f ca="1">DSUM(INDIRECT($H$2&amp;"!$A$1:$H$25"),H$3,$I$11:$I$12)</f>
        <v>1164</v>
      </c>
      <c r="I5" s="5">
        <f ca="1">DSUM(INDIRECT($H$2&amp;"!$A$1:$H$25"),I$3,$I$11:$I$12)</f>
        <v>1685010</v>
      </c>
      <c r="J5" s="5">
        <f ca="1">DSUM(INDIRECT($H$2&amp;"!$A$1:$H$25"),J$3,$I$11:$I$12)</f>
        <v>78600</v>
      </c>
      <c r="K5" s="5">
        <f ca="1">DSUM(INDIRECT($K$2&amp;"!$A$1:$H$25"),K$3,$I$11:$I$12)</f>
        <v>1124</v>
      </c>
      <c r="L5" s="5">
        <f ca="1">DSUM(INDIRECT($K$2&amp;"!$A$1:$H$25"),L$3,$I$11:$I$12)</f>
        <v>1672020</v>
      </c>
      <c r="M5" s="5">
        <f ca="1">DSUM(INDIRECT($K$2&amp;"!$A$1:$H$25"),M$3,$I$11:$I$12)</f>
        <v>76900</v>
      </c>
      <c r="N5" s="5">
        <f ca="1">H5+K5</f>
        <v>2288</v>
      </c>
      <c r="O5" s="5">
        <f ca="1">I5+L5</f>
        <v>3357030</v>
      </c>
      <c r="P5" s="5">
        <f ca="1">J5+M5</f>
        <v>155500</v>
      </c>
      <c r="Q5" s="42">
        <f ca="1">ROUNDUP(O5/VLOOKUP(F5,テーブル!$E$3:$G$6,3,0),2)</f>
        <v>1.06</v>
      </c>
      <c r="R5" s="5">
        <f ca="1">ROUNDDOWN(IF(OR(N5&gt;=2400,Q5&gt;=100%),O5*4.7%,O5*4.2%),0)</f>
        <v>157780</v>
      </c>
      <c r="S5" s="5">
        <f ca="1">O5+P5-R5</f>
        <v>3354750</v>
      </c>
      <c r="T5" s="56" t="str">
        <f ca="1">IF(S5&gt;=AVERAGE($S$4:$S$7),"Ｇ","")</f>
        <v/>
      </c>
      <c r="V5"/>
    </row>
    <row r="6" spans="1:22">
      <c r="A6" s="14" t="s">
        <v>22</v>
      </c>
      <c r="B6" s="5">
        <f>DSUM(前期!$A$1:$H$25,B$2,$A$14:$A$15)+DSUM(後期!$A$1:$H$25,B$2,$A$14:$A$15)</f>
        <v>1398</v>
      </c>
      <c r="C6" s="5">
        <f>DSUM(前期!$A$1:$H$25,C$2,$A$14:$A$15)+DSUM(後期!$A$1:$H$25,C$2,$A$14:$A$15)</f>
        <v>2810130</v>
      </c>
      <c r="D6" s="4">
        <f>DSUM(前期!$A$1:$H$25,D$2,$A$14:$A$15)+DSUM(後期!$A$1:$H$25,D$2,$A$14:$A$15)</f>
        <v>125500</v>
      </c>
      <c r="F6" s="2">
        <v>12</v>
      </c>
      <c r="G6" s="3" t="str">
        <f>VLOOKUP(F6,テーブル!$E$3:$G$6,2,0)</f>
        <v>サクラ堂</v>
      </c>
      <c r="H6" s="5">
        <f ca="1">DSUM(INDIRECT($H$2&amp;"!$A$1:$H$25"),H$3,$G$11:$G$12)</f>
        <v>934</v>
      </c>
      <c r="I6" s="5">
        <f ca="1">DSUM(INDIRECT($H$2&amp;"!$A$1:$H$25"),I$3,$G$11:$G$12)</f>
        <v>1465180</v>
      </c>
      <c r="J6" s="5">
        <f ca="1">DSUM(INDIRECT($H$2&amp;"!$A$1:$H$25"),J$3,$G$11:$G$12)</f>
        <v>66000</v>
      </c>
      <c r="K6" s="5">
        <f ca="1">DSUM(INDIRECT($K$2&amp;"!$A$1:$H$25"),K$3,$G$11:$G$12)</f>
        <v>1327</v>
      </c>
      <c r="L6" s="5">
        <f ca="1">DSUM(INDIRECT($K$2&amp;"!$A$1:$H$25"),L$3,$G$11:$G$12)</f>
        <v>1974890</v>
      </c>
      <c r="M6" s="5">
        <f ca="1">DSUM(INDIRECT($K$2&amp;"!$A$1:$H$25"),M$3,$G$11:$G$12)</f>
        <v>95600</v>
      </c>
      <c r="N6" s="5">
        <f ca="1">H6+K6</f>
        <v>2261</v>
      </c>
      <c r="O6" s="5">
        <f ca="1">I6+L6</f>
        <v>3440070</v>
      </c>
      <c r="P6" s="5">
        <f ca="1">J6+M6</f>
        <v>161600</v>
      </c>
      <c r="Q6" s="42">
        <f ca="1">ROUNDUP(O6/VLOOKUP(F6,テーブル!$E$3:$G$6,3,0),2)</f>
        <v>1</v>
      </c>
      <c r="R6" s="5">
        <f ca="1">ROUNDDOWN(IF(OR(N6&gt;=2400,Q6&gt;=100%),O6*4.7%,O6*4.2%),0)</f>
        <v>161683</v>
      </c>
      <c r="S6" s="5">
        <f ca="1">O6+P6-R6</f>
        <v>3439987</v>
      </c>
      <c r="T6" s="56" t="str">
        <f ca="1">IF(S6&gt;=AVERAGE($S$4:$S$7),"Ｇ","")</f>
        <v>Ｇ</v>
      </c>
      <c r="V6"/>
    </row>
    <row r="7" spans="1:22">
      <c r="A7" s="14" t="s">
        <v>23</v>
      </c>
      <c r="B7" s="5">
        <f>DSUM(前期!$A$1:$H$25,B$2,$B$14:$B$15)+DSUM(後期!$A$1:$H$25,B$2,$B$14:$B$15)</f>
        <v>1471</v>
      </c>
      <c r="C7" s="5">
        <f>DSUM(前期!$A$1:$H$25,C$2,$B$14:$B$15)+DSUM(後期!$A$1:$H$25,C$2,$B$14:$B$15)</f>
        <v>1085720</v>
      </c>
      <c r="D7" s="4">
        <f>DSUM(前期!$A$1:$H$25,D$2,$B$14:$B$15)+DSUM(後期!$A$1:$H$25,D$2,$B$14:$B$15)</f>
        <v>57400</v>
      </c>
      <c r="F7" s="2">
        <v>13</v>
      </c>
      <c r="G7" s="3" t="str">
        <f>VLOOKUP(F7,テーブル!$E$3:$G$6,2,0)</f>
        <v>大川百貨店</v>
      </c>
      <c r="H7" s="5">
        <f ca="1">DSUM(INDIRECT($H$2&amp;"!$A$1:$H$25"),H$3,$H$11:$H$12)</f>
        <v>1313</v>
      </c>
      <c r="I7" s="5">
        <f ca="1">DSUM(INDIRECT($H$2&amp;"!$A$1:$H$25"),I$3,$H$11:$H$12)</f>
        <v>1938020</v>
      </c>
      <c r="J7" s="5">
        <f ca="1">DSUM(INDIRECT($H$2&amp;"!$A$1:$H$25"),J$3,$H$11:$H$12)</f>
        <v>93500</v>
      </c>
      <c r="K7" s="5">
        <f ca="1">DSUM(INDIRECT($K$2&amp;"!$A$1:$H$25"),K$3,$H$11:$H$12)</f>
        <v>1097</v>
      </c>
      <c r="L7" s="5">
        <f ca="1">DSUM(INDIRECT($K$2&amp;"!$A$1:$H$25"),L$3,$H$11:$H$12)</f>
        <v>1646170</v>
      </c>
      <c r="M7" s="5">
        <f ca="1">DSUM(INDIRECT($K$2&amp;"!$A$1:$H$25"),M$3,$H$11:$H$12)</f>
        <v>78600</v>
      </c>
      <c r="N7" s="5">
        <f ca="1">H7+K7</f>
        <v>2410</v>
      </c>
      <c r="O7" s="5">
        <f ca="1">I7+L7</f>
        <v>3584190</v>
      </c>
      <c r="P7" s="5">
        <f ca="1">J7+M7</f>
        <v>172100</v>
      </c>
      <c r="Q7" s="42">
        <f ca="1">ROUNDUP(O7/VLOOKUP(F7,テーブル!$E$3:$G$6,3,0),2)</f>
        <v>0.99</v>
      </c>
      <c r="R7" s="5">
        <f ca="1">ROUNDDOWN(IF(OR(N7&gt;=2400,Q7&gt;=100%),O7*4.7%,O7*4.2%),0)</f>
        <v>168456</v>
      </c>
      <c r="S7" s="5">
        <f ca="1">O7+P7-R7</f>
        <v>3587834</v>
      </c>
      <c r="T7" s="56" t="str">
        <f ca="1">IF(S7&gt;=AVERAGE($S$4:$S$7),"Ｇ","")</f>
        <v>Ｇ</v>
      </c>
      <c r="V7"/>
    </row>
    <row r="8" spans="1:22">
      <c r="A8" s="14" t="s">
        <v>24</v>
      </c>
      <c r="B8" s="5">
        <f>DSUM(前期!$A$1:$H$25,B$2,$C$14:$C$15)+DSUM(後期!$A$1:$H$25,B$2,$C$14:$C$15)</f>
        <v>1532</v>
      </c>
      <c r="C8" s="5">
        <f>DSUM(前期!$A$1:$H$25,C$2,$C$14:$C$15)+DSUM(後期!$A$1:$H$25,C$2,$C$14:$C$15)</f>
        <v>2677070</v>
      </c>
      <c r="D8" s="4">
        <f>DSUM(前期!$A$1:$H$25,D$2,$C$14:$C$15)+DSUM(後期!$A$1:$H$25,D$2,$C$14:$C$15)</f>
        <v>125600</v>
      </c>
      <c r="F8" s="2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6"/>
    </row>
    <row r="9" spans="1:22" ht="14.25" thickBot="1">
      <c r="A9" s="2"/>
      <c r="B9" s="3"/>
      <c r="C9" s="3"/>
      <c r="D9" s="6"/>
      <c r="F9" s="7"/>
      <c r="G9" s="8" t="s">
        <v>0</v>
      </c>
      <c r="H9" s="9">
        <f t="shared" ref="H9:O9" ca="1" si="0">SUM(H4:H7)</f>
        <v>4516</v>
      </c>
      <c r="I9" s="9">
        <f t="shared" ca="1" si="0"/>
        <v>6745610</v>
      </c>
      <c r="J9" s="9">
        <f t="shared" ca="1" si="0"/>
        <v>315100</v>
      </c>
      <c r="K9" s="9">
        <f t="shared" ca="1" si="0"/>
        <v>4630</v>
      </c>
      <c r="L9" s="9">
        <f t="shared" ca="1" si="0"/>
        <v>6967680</v>
      </c>
      <c r="M9" s="9">
        <f t="shared" ca="1" si="0"/>
        <v>330700</v>
      </c>
      <c r="N9" s="9">
        <f t="shared" ca="1" si="0"/>
        <v>9146</v>
      </c>
      <c r="O9" s="9">
        <f t="shared" ca="1" si="0"/>
        <v>13713290</v>
      </c>
      <c r="P9" s="9">
        <f ca="1">SUM(P4:P7)</f>
        <v>645800</v>
      </c>
      <c r="Q9" s="9"/>
      <c r="R9" s="9">
        <f ca="1">SUM(R4:R7)</f>
        <v>627863</v>
      </c>
      <c r="S9" s="9">
        <f ca="1">SUM(S4:S7)</f>
        <v>13731227</v>
      </c>
      <c r="T9" s="26"/>
      <c r="U9" t="s">
        <v>37</v>
      </c>
    </row>
    <row r="10" spans="1:22" ht="14.25" thickBot="1">
      <c r="A10" s="25" t="s">
        <v>0</v>
      </c>
      <c r="B10" s="9">
        <f>SUM(B3:B8)</f>
        <v>9146</v>
      </c>
      <c r="C10" s="9">
        <f t="shared" ref="C10:D10" si="1">SUM(C3:C8)</f>
        <v>13713290</v>
      </c>
      <c r="D10" s="26">
        <f t="shared" si="1"/>
        <v>645800</v>
      </c>
      <c r="E10" t="s">
        <v>37</v>
      </c>
      <c r="H10" s="17"/>
      <c r="I10" s="17"/>
      <c r="J10" s="17"/>
      <c r="K10" s="17"/>
      <c r="L10" s="17"/>
      <c r="N10" s="17"/>
      <c r="O10" s="17"/>
    </row>
    <row r="11" spans="1:22" ht="14.25" thickBot="1">
      <c r="F11" s="16" t="s">
        <v>6</v>
      </c>
      <c r="G11" s="16" t="s">
        <v>6</v>
      </c>
      <c r="H11" s="16" t="s">
        <v>6</v>
      </c>
      <c r="I11" s="16" t="s">
        <v>6</v>
      </c>
      <c r="J11" s="17"/>
      <c r="K11" s="17"/>
      <c r="M11" s="17"/>
    </row>
    <row r="12" spans="1:22" ht="14.25" thickBot="1">
      <c r="A12" s="16" t="s">
        <v>4</v>
      </c>
      <c r="B12" s="43" t="s">
        <v>4</v>
      </c>
      <c r="C12" s="43" t="s">
        <v>4</v>
      </c>
      <c r="F12" s="10">
        <v>11</v>
      </c>
      <c r="G12" s="10">
        <v>12</v>
      </c>
      <c r="H12" s="10">
        <v>13</v>
      </c>
      <c r="I12" s="10">
        <v>14</v>
      </c>
      <c r="K12" s="19"/>
      <c r="L12" s="21"/>
      <c r="O12" s="24"/>
    </row>
    <row r="13" spans="1:22" ht="14.25" thickBot="1">
      <c r="A13" s="18" t="s">
        <v>19</v>
      </c>
      <c r="B13" s="44" t="s">
        <v>20</v>
      </c>
      <c r="C13" s="44" t="s">
        <v>21</v>
      </c>
    </row>
    <row r="14" spans="1:22">
      <c r="A14" s="16" t="s">
        <v>4</v>
      </c>
      <c r="B14" s="43" t="s">
        <v>4</v>
      </c>
      <c r="C14" s="43" t="s">
        <v>4</v>
      </c>
    </row>
    <row r="15" spans="1:22" ht="14.25" thickBot="1">
      <c r="A15" s="18" t="s">
        <v>22</v>
      </c>
      <c r="B15" s="44" t="s">
        <v>23</v>
      </c>
      <c r="C15" s="44" t="s">
        <v>24</v>
      </c>
      <c r="E15"/>
      <c r="F15"/>
      <c r="G15"/>
      <c r="H15"/>
      <c r="I15"/>
      <c r="J15"/>
    </row>
    <row r="16" spans="1:22">
      <c r="E16"/>
      <c r="F16"/>
      <c r="G16"/>
      <c r="H16"/>
      <c r="I16"/>
      <c r="J16"/>
    </row>
    <row r="19" spans="1:7">
      <c r="A19"/>
      <c r="B19"/>
      <c r="C19"/>
      <c r="D19"/>
      <c r="E19"/>
      <c r="F19"/>
      <c r="G19"/>
    </row>
    <row r="20" spans="1:7">
      <c r="A20"/>
      <c r="B20"/>
      <c r="C20"/>
      <c r="D20"/>
      <c r="E20"/>
      <c r="F20"/>
      <c r="G20"/>
    </row>
    <row r="21" spans="1:7">
      <c r="A21"/>
      <c r="B21"/>
      <c r="C21"/>
      <c r="D21"/>
      <c r="E21"/>
      <c r="F21"/>
      <c r="G21"/>
    </row>
    <row r="22" spans="1:7">
      <c r="A22"/>
      <c r="B22"/>
      <c r="C22"/>
      <c r="D22"/>
      <c r="E22"/>
      <c r="F22"/>
      <c r="G22"/>
    </row>
    <row r="35" spans="22:22">
      <c r="V35" t="s">
        <v>38</v>
      </c>
    </row>
  </sheetData>
  <sortState xmlns:xlrd2="http://schemas.microsoft.com/office/spreadsheetml/2017/richdata2" ref="F4:T7">
    <sortCondition ref="S4:S7"/>
  </sortState>
  <mergeCells count="5">
    <mergeCell ref="A1:D1"/>
    <mergeCell ref="F1:T1"/>
    <mergeCell ref="H2:J2"/>
    <mergeCell ref="K2:M2"/>
    <mergeCell ref="N2:P2"/>
  </mergeCells>
  <phoneticPr fontId="2"/>
  <printOptions headings="1"/>
  <pageMargins left="0.70866141732283472" right="0.70866141732283472" top="0.74803149606299213" bottom="0.74803149606299213" header="0.31496062992125984" footer="0.31496062992125984"/>
  <pageSetup paperSize="9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テーブル</vt:lpstr>
      <vt:lpstr>前期</vt:lpstr>
      <vt:lpstr>後期</vt:lpstr>
      <vt:lpstr>計算表</vt:lpstr>
    </vt:vector>
  </TitlesOfParts>
  <Company>日本情報処理検定協会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日本情報処理検定協会</dc:creator>
  <cp:lastModifiedBy>日本情報処理検定協会(M.N)</cp:lastModifiedBy>
  <cp:lastPrinted>2022-07-29T07:06:42Z</cp:lastPrinted>
  <dcterms:created xsi:type="dcterms:W3CDTF">2012-06-19T05:36:06Z</dcterms:created>
  <dcterms:modified xsi:type="dcterms:W3CDTF">2023-05-10T06:07:38Z</dcterms:modified>
</cp:coreProperties>
</file>