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r01\共有フォルダー\検定関連\00_問題\01_検定問題\2023(令和05)年度\令和05年07月\1表計算\SPS_202307\"/>
    </mc:Choice>
  </mc:AlternateContent>
  <xr:revisionPtr revIDLastSave="0" documentId="13_ncr:1_{E3743058-EAE8-4AD4-B9F5-87AC866B6E46}" xr6:coauthVersionLast="47" xr6:coauthVersionMax="47" xr10:uidLastSave="{00000000-0000-0000-0000-000000000000}"/>
  <bookViews>
    <workbookView xWindow="-120" yWindow="-120" windowWidth="29040" windowHeight="15840" xr2:uid="{8FF110D2-92E9-4A84-BB9A-5B4C8A7468CF}"/>
  </bookViews>
  <sheets>
    <sheet name="テーブル" sheetId="1" r:id="rId1"/>
    <sheet name="データ表" sheetId="2" r:id="rId2"/>
    <sheet name="計算表" sheetId="4" r:id="rId3"/>
  </sheets>
  <calcPr calcId="181029"/>
</workbook>
</file>

<file path=xl/calcChain.xml><?xml version="1.0" encoding="utf-8"?>
<calcChain xmlns="http://schemas.openxmlformats.org/spreadsheetml/2006/main">
  <c r="S3" i="4" l="1"/>
  <c r="K4" i="4"/>
  <c r="K3" i="4"/>
  <c r="K5" i="4"/>
  <c r="K6" i="4"/>
  <c r="J4" i="4"/>
  <c r="J3" i="4"/>
  <c r="J5" i="4"/>
  <c r="J6" i="4"/>
  <c r="B37" i="2" l="1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D2" i="2"/>
  <c r="B2" i="2" l="1"/>
  <c r="B6" i="4" l="1"/>
  <c r="B5" i="4"/>
  <c r="B4" i="4"/>
  <c r="B3" i="4"/>
  <c r="B7" i="4"/>
  <c r="E3" i="4"/>
  <c r="K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2" i="2"/>
  <c r="L4" i="4"/>
  <c r="L3" i="4" l="1"/>
  <c r="L5" i="4"/>
  <c r="L6" i="4"/>
  <c r="F39" i="2"/>
  <c r="E39" i="2"/>
  <c r="G37" i="2" l="1"/>
  <c r="H37" i="2" s="1"/>
  <c r="I37" i="2" s="1"/>
  <c r="J37" i="2" s="1"/>
  <c r="G36" i="2"/>
  <c r="H36" i="2" s="1"/>
  <c r="I36" i="2" s="1"/>
  <c r="J36" i="2" s="1"/>
  <c r="G35" i="2"/>
  <c r="H35" i="2" s="1"/>
  <c r="I35" i="2" s="1"/>
  <c r="J35" i="2" s="1"/>
  <c r="G34" i="2"/>
  <c r="H34" i="2" s="1"/>
  <c r="I34" i="2" s="1"/>
  <c r="J34" i="2" s="1"/>
  <c r="D37" i="2"/>
  <c r="D36" i="2"/>
  <c r="D35" i="2"/>
  <c r="D34" i="2"/>
  <c r="I5" i="4"/>
  <c r="I3" i="4"/>
  <c r="I4" i="4"/>
  <c r="I6" i="4"/>
  <c r="G3" i="2"/>
  <c r="H3" i="2" s="1"/>
  <c r="I3" i="2" s="1"/>
  <c r="G4" i="2"/>
  <c r="H4" i="2" s="1"/>
  <c r="I4" i="2" s="1"/>
  <c r="M3" i="4" s="1"/>
  <c r="G5" i="2"/>
  <c r="H5" i="2" s="1"/>
  <c r="I5" i="2" s="1"/>
  <c r="G6" i="2"/>
  <c r="H6" i="2" s="1"/>
  <c r="I6" i="2" s="1"/>
  <c r="G7" i="2"/>
  <c r="H7" i="2" s="1"/>
  <c r="I7" i="2" s="1"/>
  <c r="G8" i="2"/>
  <c r="H8" i="2" s="1"/>
  <c r="I8" i="2" s="1"/>
  <c r="J8" i="2" s="1"/>
  <c r="G9" i="2"/>
  <c r="H9" i="2" s="1"/>
  <c r="I9" i="2" s="1"/>
  <c r="J9" i="2" s="1"/>
  <c r="G10" i="2"/>
  <c r="H10" i="2" s="1"/>
  <c r="I10" i="2" s="1"/>
  <c r="G11" i="2"/>
  <c r="H11" i="2" s="1"/>
  <c r="I11" i="2" s="1"/>
  <c r="G12" i="2"/>
  <c r="H12" i="2" s="1"/>
  <c r="I12" i="2" s="1"/>
  <c r="J12" i="2" s="1"/>
  <c r="G13" i="2"/>
  <c r="H13" i="2" s="1"/>
  <c r="I13" i="2" s="1"/>
  <c r="J13" i="2" s="1"/>
  <c r="G14" i="2"/>
  <c r="H14" i="2" s="1"/>
  <c r="I14" i="2" s="1"/>
  <c r="G15" i="2"/>
  <c r="H15" i="2" s="1"/>
  <c r="I15" i="2" s="1"/>
  <c r="J15" i="2" s="1"/>
  <c r="G16" i="2"/>
  <c r="H16" i="2" s="1"/>
  <c r="I16" i="2" s="1"/>
  <c r="J16" i="2" s="1"/>
  <c r="G17" i="2"/>
  <c r="H17" i="2" s="1"/>
  <c r="I17" i="2" s="1"/>
  <c r="C7" i="4" s="1"/>
  <c r="G18" i="2"/>
  <c r="H18" i="2" s="1"/>
  <c r="I18" i="2" s="1"/>
  <c r="G19" i="2"/>
  <c r="H19" i="2" s="1"/>
  <c r="I19" i="2" s="1"/>
  <c r="J19" i="2" s="1"/>
  <c r="G20" i="2"/>
  <c r="H20" i="2" s="1"/>
  <c r="I20" i="2" s="1"/>
  <c r="G21" i="2"/>
  <c r="H21" i="2" s="1"/>
  <c r="I21" i="2" s="1"/>
  <c r="J21" i="2" s="1"/>
  <c r="G22" i="2"/>
  <c r="H22" i="2" s="1"/>
  <c r="I22" i="2" s="1"/>
  <c r="J22" i="2" s="1"/>
  <c r="G23" i="2"/>
  <c r="H23" i="2" s="1"/>
  <c r="I23" i="2" s="1"/>
  <c r="J23" i="2" s="1"/>
  <c r="G24" i="2"/>
  <c r="H24" i="2" s="1"/>
  <c r="I24" i="2" s="1"/>
  <c r="J24" i="2" s="1"/>
  <c r="G25" i="2"/>
  <c r="H25" i="2" s="1"/>
  <c r="I25" i="2" s="1"/>
  <c r="G26" i="2"/>
  <c r="H26" i="2" s="1"/>
  <c r="I26" i="2" s="1"/>
  <c r="J26" i="2" s="1"/>
  <c r="G27" i="2"/>
  <c r="H27" i="2" s="1"/>
  <c r="I27" i="2" s="1"/>
  <c r="J27" i="2" s="1"/>
  <c r="G28" i="2"/>
  <c r="H28" i="2" s="1"/>
  <c r="I28" i="2" s="1"/>
  <c r="J28" i="2" s="1"/>
  <c r="G29" i="2"/>
  <c r="H29" i="2" s="1"/>
  <c r="I29" i="2" s="1"/>
  <c r="J29" i="2" s="1"/>
  <c r="G30" i="2"/>
  <c r="H30" i="2" s="1"/>
  <c r="I30" i="2" s="1"/>
  <c r="J30" i="2" s="1"/>
  <c r="G31" i="2"/>
  <c r="H31" i="2" s="1"/>
  <c r="I31" i="2" s="1"/>
  <c r="J31" i="2" s="1"/>
  <c r="G32" i="2"/>
  <c r="H32" i="2" s="1"/>
  <c r="I32" i="2" s="1"/>
  <c r="J32" i="2" s="1"/>
  <c r="G33" i="2"/>
  <c r="H33" i="2" s="1"/>
  <c r="I33" i="2" s="1"/>
  <c r="J33" i="2" s="1"/>
  <c r="G2" i="2"/>
  <c r="J14" i="2" l="1"/>
  <c r="D6" i="4" s="1"/>
  <c r="C6" i="4"/>
  <c r="J7" i="2"/>
  <c r="S2" i="4"/>
  <c r="J6" i="2"/>
  <c r="C4" i="4"/>
  <c r="M4" i="4"/>
  <c r="J10" i="2"/>
  <c r="D5" i="4" s="1"/>
  <c r="C5" i="4"/>
  <c r="M5" i="4"/>
  <c r="J25" i="2"/>
  <c r="J17" i="2"/>
  <c r="J11" i="2"/>
  <c r="K8" i="4"/>
  <c r="J8" i="4"/>
  <c r="H2" i="2"/>
  <c r="I2" i="2" s="1"/>
  <c r="J5" i="2"/>
  <c r="N4" i="4" s="1"/>
  <c r="J4" i="2"/>
  <c r="J20" i="2"/>
  <c r="J18" i="2"/>
  <c r="J3" i="2"/>
  <c r="N5" i="4" s="1"/>
  <c r="D7" i="4" l="1"/>
  <c r="N3" i="4"/>
  <c r="O3" i="4" s="1"/>
  <c r="D4" i="4"/>
  <c r="M6" i="4"/>
  <c r="C3" i="4"/>
  <c r="O4" i="4"/>
  <c r="O5" i="4"/>
  <c r="J2" i="2"/>
  <c r="I39" i="2"/>
  <c r="M8" i="4"/>
  <c r="P3" i="4" l="1"/>
  <c r="N6" i="4"/>
  <c r="D3" i="4"/>
  <c r="P4" i="4"/>
  <c r="J39" i="2"/>
  <c r="P5" i="4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" i="2"/>
  <c r="D4" i="2"/>
  <c r="D5" i="2"/>
  <c r="D6" i="2"/>
  <c r="D7" i="2"/>
  <c r="D8" i="2"/>
  <c r="D9" i="2"/>
  <c r="D10" i="2"/>
  <c r="D11" i="2"/>
  <c r="D12" i="2"/>
  <c r="D13" i="2"/>
  <c r="O6" i="4" l="1"/>
  <c r="P6" i="4" s="1"/>
  <c r="P8" i="4" s="1"/>
  <c r="N8" i="4"/>
  <c r="E4" i="4"/>
  <c r="E6" i="4"/>
  <c r="E5" i="4"/>
  <c r="E7" i="4"/>
  <c r="O8" i="4" l="1"/>
  <c r="F5" i="4"/>
  <c r="F6" i="4"/>
  <c r="F4" i="4"/>
  <c r="F7" i="4"/>
  <c r="D9" i="4"/>
  <c r="F3" i="4"/>
  <c r="B9" i="4"/>
  <c r="C9" i="4"/>
  <c r="E9" i="4" l="1"/>
</calcChain>
</file>

<file path=xl/sharedStrings.xml><?xml version="1.0" encoding="utf-8"?>
<sst xmlns="http://schemas.openxmlformats.org/spreadsheetml/2006/main" count="85" uniqueCount="49">
  <si>
    <t>委託先名</t>
  </si>
  <si>
    <t>委託先名</t>
    <rPh sb="0" eb="2">
      <t>イタク</t>
    </rPh>
    <phoneticPr fontId="2"/>
  </si>
  <si>
    <t>委託数</t>
    <rPh sb="0" eb="2">
      <t>イタク</t>
    </rPh>
    <rPh sb="2" eb="3">
      <t>スウ</t>
    </rPh>
    <phoneticPr fontId="2"/>
  </si>
  <si>
    <t>販売数</t>
    <rPh sb="0" eb="2">
      <t>ハンバイ</t>
    </rPh>
    <rPh sb="2" eb="3">
      <t>スウ</t>
    </rPh>
    <phoneticPr fontId="2"/>
  </si>
  <si>
    <t>販売額</t>
    <rPh sb="0" eb="2">
      <t>ハンバイ</t>
    </rPh>
    <rPh sb="2" eb="3">
      <t>ガク</t>
    </rPh>
    <phoneticPr fontId="2"/>
  </si>
  <si>
    <t>手数料</t>
    <rPh sb="0" eb="3">
      <t>テスウリョウ</t>
    </rPh>
    <phoneticPr fontId="2"/>
  </si>
  <si>
    <t>手数料率</t>
    <rPh sb="0" eb="3">
      <t>テスウリョウ</t>
    </rPh>
    <phoneticPr fontId="2"/>
  </si>
  <si>
    <t>＜商品テーブル＞</t>
    <rPh sb="1" eb="3">
      <t>ショウヒン</t>
    </rPh>
    <phoneticPr fontId="2"/>
  </si>
  <si>
    <t>商品名</t>
    <rPh sb="0" eb="2">
      <t>ショウヒン</t>
    </rPh>
    <rPh sb="2" eb="3">
      <t>メイ</t>
    </rPh>
    <phoneticPr fontId="2"/>
  </si>
  <si>
    <t>＜委託先テーブル＞</t>
    <rPh sb="1" eb="3">
      <t>イタク</t>
    </rPh>
    <phoneticPr fontId="2"/>
  </si>
  <si>
    <t>目標数</t>
    <rPh sb="0" eb="2">
      <t>モクヒョウ</t>
    </rPh>
    <rPh sb="2" eb="3">
      <t>スウ</t>
    </rPh>
    <phoneticPr fontId="2"/>
  </si>
  <si>
    <t>商ＣＯ</t>
    <rPh sb="0" eb="1">
      <t>ショウ</t>
    </rPh>
    <phoneticPr fontId="2"/>
  </si>
  <si>
    <t>委ＣＯ</t>
    <rPh sb="0" eb="1">
      <t>イ</t>
    </rPh>
    <phoneticPr fontId="2"/>
  </si>
  <si>
    <t>達成率</t>
    <rPh sb="0" eb="3">
      <t>タッセイリツ</t>
    </rPh>
    <phoneticPr fontId="2"/>
  </si>
  <si>
    <t>定価</t>
    <rPh sb="0" eb="2">
      <t>テイカ</t>
    </rPh>
    <phoneticPr fontId="2"/>
  </si>
  <si>
    <t>売価</t>
    <rPh sb="0" eb="2">
      <t>バイカ</t>
    </rPh>
    <phoneticPr fontId="2"/>
  </si>
  <si>
    <t>値引率</t>
    <rPh sb="0" eb="3">
      <t>ネビキリツ</t>
    </rPh>
    <phoneticPr fontId="2"/>
  </si>
  <si>
    <t>販売数</t>
    <rPh sb="0" eb="3">
      <t>ハンバイスウ</t>
    </rPh>
    <phoneticPr fontId="2"/>
  </si>
  <si>
    <t>Ｅ商品</t>
    <phoneticPr fontId="2"/>
  </si>
  <si>
    <t>Ｆ商品</t>
    <phoneticPr fontId="2"/>
  </si>
  <si>
    <t>Ｇ商品</t>
    <phoneticPr fontId="2"/>
  </si>
  <si>
    <t>Ｈ商品</t>
    <phoneticPr fontId="2"/>
  </si>
  <si>
    <t>Ｉ商品</t>
    <rPh sb="1" eb="3">
      <t>ショウヒン</t>
    </rPh>
    <phoneticPr fontId="2"/>
  </si>
  <si>
    <t>販売率</t>
    <rPh sb="0" eb="2">
      <t>ハンバイ</t>
    </rPh>
    <rPh sb="2" eb="3">
      <t>リツ</t>
    </rPh>
    <phoneticPr fontId="2"/>
  </si>
  <si>
    <t>返品数</t>
    <rPh sb="0" eb="3">
      <t>ヘンピンスウ</t>
    </rPh>
    <phoneticPr fontId="2"/>
  </si>
  <si>
    <t>判定</t>
    <rPh sb="0" eb="2">
      <t>ハンテイ</t>
    </rPh>
    <phoneticPr fontId="2"/>
  </si>
  <si>
    <t>支払額</t>
    <rPh sb="0" eb="3">
      <t>シハライガク</t>
    </rPh>
    <phoneticPr fontId="2"/>
  </si>
  <si>
    <t>朝日ストア</t>
    <rPh sb="0" eb="2">
      <t>アサヒ</t>
    </rPh>
    <phoneticPr fontId="2"/>
  </si>
  <si>
    <t>新栄百貨店</t>
    <rPh sb="0" eb="2">
      <t>シンエイ</t>
    </rPh>
    <rPh sb="2" eb="5">
      <t>ヒャッカテン</t>
    </rPh>
    <phoneticPr fontId="2"/>
  </si>
  <si>
    <t>ひまわり堂</t>
    <rPh sb="4" eb="5">
      <t>ドウ</t>
    </rPh>
    <phoneticPr fontId="2"/>
  </si>
  <si>
    <t>大久保商事</t>
    <rPh sb="0" eb="3">
      <t>オオクボ</t>
    </rPh>
    <rPh sb="3" eb="5">
      <t>ショウジ</t>
    </rPh>
    <phoneticPr fontId="2"/>
  </si>
  <si>
    <t>合　計</t>
    <rPh sb="0" eb="1">
      <t>ゴウ</t>
    </rPh>
    <rPh sb="2" eb="3">
      <t>ケイ</t>
    </rPh>
    <phoneticPr fontId="2"/>
  </si>
  <si>
    <t>委託数</t>
    <rPh sb="0" eb="2">
      <t>イタク</t>
    </rPh>
    <rPh sb="2" eb="3">
      <t>スウ</t>
    </rPh>
    <phoneticPr fontId="2"/>
  </si>
  <si>
    <t>手数料</t>
    <rPh sb="0" eb="3">
      <t>テスウリョウ</t>
    </rPh>
    <phoneticPr fontId="2"/>
  </si>
  <si>
    <t>合　計</t>
    <rPh sb="0" eb="1">
      <t>ゴウ</t>
    </rPh>
    <rPh sb="2" eb="3">
      <t>ケイ</t>
    </rPh>
    <phoneticPr fontId="2"/>
  </si>
  <si>
    <t>奨励金</t>
    <rPh sb="0" eb="3">
      <t>ショウレイキン</t>
    </rPh>
    <phoneticPr fontId="2"/>
  </si>
  <si>
    <t>販売数</t>
    <rPh sb="0" eb="3">
      <t>ハンバイスウ</t>
    </rPh>
    <phoneticPr fontId="2"/>
  </si>
  <si>
    <t>&gt;=480</t>
    <phoneticPr fontId="2"/>
  </si>
  <si>
    <t>委　託　先　別　支　払　額　計　算　表</t>
    <rPh sb="8" eb="9">
      <t>シ</t>
    </rPh>
    <rPh sb="10" eb="11">
      <t>フツ</t>
    </rPh>
    <rPh sb="12" eb="13">
      <t>ガク</t>
    </rPh>
    <phoneticPr fontId="2"/>
  </si>
  <si>
    <t>合　計</t>
    <rPh sb="0" eb="1">
      <t>ゴウ</t>
    </rPh>
    <rPh sb="2" eb="3">
      <t>ケイ</t>
    </rPh>
    <phoneticPr fontId="2"/>
  </si>
  <si>
    <t>&lt;=460</t>
    <phoneticPr fontId="2"/>
  </si>
  <si>
    <t>委託数が480以上で販売数が460以下の販売額の合計</t>
    <rPh sb="0" eb="2">
      <t>イタク</t>
    </rPh>
    <rPh sb="2" eb="3">
      <t>スウ</t>
    </rPh>
    <rPh sb="7" eb="9">
      <t>イジョウ</t>
    </rPh>
    <rPh sb="10" eb="13">
      <t>ハンバイスウ</t>
    </rPh>
    <rPh sb="17" eb="19">
      <t>イカ</t>
    </rPh>
    <rPh sb="20" eb="23">
      <t>ハンバイガク</t>
    </rPh>
    <rPh sb="24" eb="26">
      <t>ゴウケイ</t>
    </rPh>
    <phoneticPr fontId="2"/>
  </si>
  <si>
    <t>商　品　総　括　表</t>
    <rPh sb="0" eb="1">
      <t>ショウ</t>
    </rPh>
    <rPh sb="2" eb="3">
      <t>ヒン</t>
    </rPh>
    <rPh sb="4" eb="5">
      <t>ソウ</t>
    </rPh>
    <rPh sb="6" eb="7">
      <t>カツ</t>
    </rPh>
    <rPh sb="8" eb="9">
      <t>オモテ</t>
    </rPh>
    <phoneticPr fontId="2"/>
  </si>
  <si>
    <t>&lt;&gt;Ｇ商品</t>
    <phoneticPr fontId="2"/>
  </si>
  <si>
    <t>&gt;30000</t>
    <phoneticPr fontId="2"/>
  </si>
  <si>
    <t>Ｇ商品以外で手数料が30,000円より多い件数</t>
    <rPh sb="1" eb="3">
      <t>ショウヒン</t>
    </rPh>
    <rPh sb="3" eb="5">
      <t>イガイ</t>
    </rPh>
    <rPh sb="6" eb="9">
      <t>テスウリョウ</t>
    </rPh>
    <rPh sb="16" eb="17">
      <t>エン</t>
    </rPh>
    <rPh sb="19" eb="20">
      <t>オオ</t>
    </rPh>
    <rPh sb="21" eb="23">
      <t>ケンスウ</t>
    </rPh>
    <phoneticPr fontId="2"/>
  </si>
  <si>
    <t>【100点】</t>
    <rPh sb="4" eb="5">
      <t>テン</t>
    </rPh>
    <phoneticPr fontId="6"/>
  </si>
  <si>
    <t>グラフ【20点】</t>
    <rPh sb="6" eb="7">
      <t>テン</t>
    </rPh>
    <phoneticPr fontId="6"/>
  </si>
  <si>
    <t>【20点】</t>
    <rPh sb="3" eb="4">
      <t>テン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</si>
</sst>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7">
    <font>
      <sz val="11"/>
      <color theme="1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6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明朝"/>
      <family val="2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9" fontId="3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>
      <alignment vertical="center"/>
    </xf>
    <xf numFmtId="0" fontId="4" fillId="0" borderId="1" xfId="0" applyFont="1" applyBorder="1">
      <alignment vertical="center"/>
    </xf>
    <xf numFmtId="38" fontId="4" fillId="0" borderId="1" xfId="2" applyFont="1" applyBorder="1">
      <alignment vertical="center"/>
    </xf>
    <xf numFmtId="0" fontId="4" fillId="0" borderId="6" xfId="0" applyFont="1" applyBorder="1">
      <alignment vertical="center"/>
    </xf>
    <xf numFmtId="38" fontId="4" fillId="0" borderId="8" xfId="0" applyNumberFormat="1" applyFont="1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38" fontId="4" fillId="0" borderId="0" xfId="0" applyNumberFormat="1" applyFont="1">
      <alignment vertical="center"/>
    </xf>
    <xf numFmtId="0" fontId="4" fillId="0" borderId="8" xfId="0" applyFont="1" applyBorder="1">
      <alignment vertical="center"/>
    </xf>
    <xf numFmtId="176" fontId="5" fillId="0" borderId="1" xfId="0" applyNumberFormat="1" applyFont="1" applyBorder="1">
      <alignment vertical="center"/>
    </xf>
    <xf numFmtId="176" fontId="4" fillId="0" borderId="0" xfId="0" applyNumberFormat="1" applyFont="1">
      <alignment vertical="center"/>
    </xf>
    <xf numFmtId="3" fontId="5" fillId="0" borderId="1" xfId="0" applyNumberFormat="1" applyFont="1" applyBorder="1">
      <alignment vertical="center"/>
    </xf>
    <xf numFmtId="0" fontId="5" fillId="0" borderId="1" xfId="0" applyFont="1" applyBorder="1">
      <alignment vertical="center"/>
    </xf>
    <xf numFmtId="0" fontId="0" fillId="0" borderId="5" xfId="0" applyBorder="1">
      <alignment vertical="center"/>
    </xf>
    <xf numFmtId="0" fontId="0" fillId="0" borderId="3" xfId="0" applyBorder="1" applyAlignment="1">
      <alignment horizontal="center" vertical="center"/>
    </xf>
    <xf numFmtId="38" fontId="4" fillId="0" borderId="1" xfId="0" applyNumberFormat="1" applyFont="1" applyBorder="1">
      <alignment vertical="center"/>
    </xf>
    <xf numFmtId="38" fontId="4" fillId="0" borderId="1" xfId="2" applyFont="1" applyFill="1" applyBorder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 applyAlignment="1">
      <alignment horizontal="center" vertical="center"/>
    </xf>
    <xf numFmtId="9" fontId="4" fillId="0" borderId="1" xfId="1" applyFont="1" applyBorder="1">
      <alignment vertical="center"/>
    </xf>
    <xf numFmtId="9" fontId="4" fillId="0" borderId="1" xfId="1" applyFont="1" applyFill="1" applyBorder="1">
      <alignment vertical="center"/>
    </xf>
    <xf numFmtId="38" fontId="5" fillId="0" borderId="1" xfId="2" applyFont="1" applyFill="1" applyBorder="1">
      <alignment vertical="center"/>
    </xf>
    <xf numFmtId="38" fontId="4" fillId="0" borderId="6" xfId="2" applyFont="1" applyBorder="1" applyAlignment="1">
      <alignment horizontal="center" vertical="center"/>
    </xf>
    <xf numFmtId="176" fontId="4" fillId="0" borderId="0" xfId="1" applyNumberFormat="1" applyFo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38" fontId="4" fillId="0" borderId="9" xfId="0" applyNumberFormat="1" applyFont="1" applyBorder="1">
      <alignment vertical="center"/>
    </xf>
    <xf numFmtId="38" fontId="4" fillId="0" borderId="6" xfId="0" applyNumberFormat="1" applyFont="1" applyBorder="1">
      <alignment vertical="center"/>
    </xf>
    <xf numFmtId="38" fontId="4" fillId="0" borderId="6" xfId="2" applyFont="1" applyBorder="1">
      <alignment vertical="center"/>
    </xf>
    <xf numFmtId="38" fontId="4" fillId="0" borderId="9" xfId="2" applyFont="1" applyBorder="1">
      <alignment vertical="center"/>
    </xf>
    <xf numFmtId="38" fontId="0" fillId="0" borderId="8" xfId="0" applyNumberFormat="1" applyBorder="1">
      <alignment vertical="center"/>
    </xf>
    <xf numFmtId="0" fontId="4" fillId="0" borderId="9" xfId="0" applyFont="1" applyBorder="1">
      <alignment vertical="center"/>
    </xf>
    <xf numFmtId="38" fontId="0" fillId="0" borderId="1" xfId="0" applyNumberFormat="1" applyBorder="1">
      <alignment vertical="center"/>
    </xf>
    <xf numFmtId="0" fontId="0" fillId="0" borderId="2" xfId="0" applyBorder="1">
      <alignment vertical="center"/>
    </xf>
    <xf numFmtId="38" fontId="4" fillId="0" borderId="4" xfId="2" applyFont="1" applyBorder="1">
      <alignment vertical="center"/>
    </xf>
    <xf numFmtId="0" fontId="0" fillId="0" borderId="7" xfId="0" applyBorder="1">
      <alignment vertical="center"/>
    </xf>
    <xf numFmtId="0" fontId="4" fillId="0" borderId="4" xfId="0" applyFont="1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4" fillId="0" borderId="7" xfId="0" applyFont="1" applyBorder="1" applyAlignment="1">
      <alignment horizontal="center" vertical="center"/>
    </xf>
    <xf numFmtId="176" fontId="4" fillId="0" borderId="1" xfId="1" applyNumberFormat="1" applyFont="1" applyBorder="1">
      <alignment vertical="center"/>
    </xf>
    <xf numFmtId="9" fontId="4" fillId="0" borderId="6" xfId="1" applyFont="1" applyFill="1" applyBorder="1">
      <alignment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>
      <alignment vertical="center"/>
    </xf>
    <xf numFmtId="0" fontId="4" fillId="0" borderId="12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>
      <alignment vertical="center"/>
    </xf>
    <xf numFmtId="0" fontId="4" fillId="0" borderId="13" xfId="0" applyFont="1" applyBorder="1">
      <alignment vertical="center"/>
    </xf>
    <xf numFmtId="0" fontId="0" fillId="0" borderId="1" xfId="0" applyBorder="1" applyAlignment="1">
      <alignment horizontal="center" vertical="center"/>
    </xf>
    <xf numFmtId="38" fontId="4" fillId="0" borderId="1" xfId="2" applyFont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/>
              <a:t>発注先別の比較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66CCFF"/>
            </a:solidFill>
            <a:ln>
              <a:solidFill>
                <a:schemeClr val="tx1"/>
              </a:solidFill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2872-4F2A-A3FA-BD71C66E1D68}"/>
            </c:ext>
          </c:extLst>
        </c:ser>
        <c:ser>
          <c:idx val="1"/>
          <c:order val="1"/>
          <c:spPr>
            <a:ln>
              <a:solidFill>
                <a:schemeClr val="tx1"/>
              </a:solidFill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2872-4F2A-A3FA-BD71C66E1D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12427392"/>
        <c:axId val="112428928"/>
      </c:barChart>
      <c:catAx>
        <c:axId val="112427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12428928"/>
        <c:crosses val="autoZero"/>
        <c:auto val="1"/>
        <c:lblAlgn val="ctr"/>
        <c:lblOffset val="100"/>
        <c:noMultiLvlLbl val="0"/>
      </c:catAx>
      <c:valAx>
        <c:axId val="11242892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12427392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000000000000189" l="0.70000000000000062" r="0.70000000000000062" t="0.75000000000000189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/>
              <a:t>発注先別の比較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66CCFF"/>
            </a:solidFill>
            <a:ln>
              <a:solidFill>
                <a:schemeClr val="tx1"/>
              </a:solidFill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72C3-49ED-A90A-B246F70D7432}"/>
            </c:ext>
          </c:extLst>
        </c:ser>
        <c:ser>
          <c:idx val="1"/>
          <c:order val="1"/>
          <c:spPr>
            <a:ln>
              <a:solidFill>
                <a:schemeClr val="tx1"/>
              </a:solidFill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72C3-49ED-A90A-B246F70D74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12454656"/>
        <c:axId val="112759552"/>
      </c:barChart>
      <c:catAx>
        <c:axId val="112454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12759552"/>
        <c:crosses val="autoZero"/>
        <c:auto val="1"/>
        <c:lblAlgn val="ctr"/>
        <c:lblOffset val="100"/>
        <c:noMultiLvlLbl val="0"/>
      </c:catAx>
      <c:valAx>
        <c:axId val="11275955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12454656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000000000000189" l="0.70000000000000062" r="0.70000000000000062" t="0.75000000000000189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/>
              <a:t>発注先別の比較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66CCFF"/>
            </a:solidFill>
            <a:ln>
              <a:solidFill>
                <a:schemeClr val="tx1"/>
              </a:solidFill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C3E2-4141-9A44-44E0D6FA21D2}"/>
            </c:ext>
          </c:extLst>
        </c:ser>
        <c:ser>
          <c:idx val="1"/>
          <c:order val="1"/>
          <c:spPr>
            <a:ln>
              <a:solidFill>
                <a:schemeClr val="tx1"/>
              </a:solidFill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C3E2-4141-9A44-44E0D6FA21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13525504"/>
        <c:axId val="113527040"/>
      </c:barChart>
      <c:catAx>
        <c:axId val="113525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13527040"/>
        <c:crosses val="autoZero"/>
        <c:auto val="1"/>
        <c:lblAlgn val="ctr"/>
        <c:lblOffset val="100"/>
        <c:noMultiLvlLbl val="0"/>
      </c:catAx>
      <c:valAx>
        <c:axId val="11352704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13525504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000000000000189" l="0.70000000000000062" r="0.70000000000000062" t="0.75000000000000189" header="0.30000000000000032" footer="0.30000000000000032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ja-JP" altLang="ja-JP" sz="1100" b="0" i="0" baseline="0">
                <a:effectLst/>
                <a:latin typeface="ＭＳ 明朝" panose="02020609040205080304" pitchFamily="17" charset="-128"/>
                <a:ea typeface="ＭＳ 明朝" panose="02020609040205080304" pitchFamily="17" charset="-128"/>
              </a:rPr>
              <a:t>委託先別の集計グラフ </a:t>
            </a:r>
            <a:endParaRPr lang="ja-JP" altLang="ja-JP" sz="1100">
              <a:effectLst/>
              <a:latin typeface="ＭＳ 明朝" panose="02020609040205080304" pitchFamily="17" charset="-128"/>
              <a:ea typeface="ＭＳ 明朝" panose="02020609040205080304" pitchFamily="17" charset="-128"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1"/>
          <c:tx>
            <c:strRef>
              <c:f>計算表!$M$2</c:f>
              <c:strCache>
                <c:ptCount val="1"/>
                <c:pt idx="0">
                  <c:v>販売額</c:v>
                </c:pt>
              </c:strCache>
            </c:strRef>
          </c:tx>
          <c:spPr>
            <a:solidFill>
              <a:sysClr val="window" lastClr="FFFFFF">
                <a:lumMod val="50000"/>
              </a:sysClr>
            </a:solidFill>
            <a:ln>
              <a:solidFill>
                <a:schemeClr val="tx1"/>
              </a:solidFill>
            </a:ln>
          </c:spPr>
          <c:invertIfNegative val="0"/>
          <c:cat>
            <c:strRef>
              <c:f>計算表!$I$3:$I$6</c:f>
              <c:strCache>
                <c:ptCount val="4"/>
                <c:pt idx="0">
                  <c:v>ひまわり堂</c:v>
                </c:pt>
                <c:pt idx="1">
                  <c:v>大久保商事</c:v>
                </c:pt>
                <c:pt idx="2">
                  <c:v>新栄百貨店</c:v>
                </c:pt>
                <c:pt idx="3">
                  <c:v>朝日ストア</c:v>
                </c:pt>
              </c:strCache>
            </c:strRef>
          </c:cat>
          <c:val>
            <c:numRef>
              <c:f>計算表!$M$3:$M$6</c:f>
              <c:numCache>
                <c:formatCode>#,##0_);[Red]\(#,##0\)</c:formatCode>
                <c:ptCount val="4"/>
                <c:pt idx="0">
                  <c:v>2034331</c:v>
                </c:pt>
                <c:pt idx="1">
                  <c:v>1896564</c:v>
                </c:pt>
                <c:pt idx="2">
                  <c:v>1954880</c:v>
                </c:pt>
                <c:pt idx="3">
                  <c:v>2080177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3C8-4DF2-B3C7-F54448F97C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33774472"/>
        <c:axId val="633776112"/>
      </c:barChart>
      <c:lineChart>
        <c:grouping val="standard"/>
        <c:varyColors val="0"/>
        <c:ser>
          <c:idx val="1"/>
          <c:order val="0"/>
          <c:tx>
            <c:strRef>
              <c:f>計算表!$K$2</c:f>
              <c:strCache>
                <c:ptCount val="1"/>
                <c:pt idx="0">
                  <c:v>販売数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diamond"/>
            <c:size val="5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cat>
            <c:strRef>
              <c:f>計算表!$I$3:$I$6</c:f>
              <c:strCache>
                <c:ptCount val="4"/>
                <c:pt idx="0">
                  <c:v>ひまわり堂</c:v>
                </c:pt>
                <c:pt idx="1">
                  <c:v>大久保商事</c:v>
                </c:pt>
                <c:pt idx="2">
                  <c:v>新栄百貨店</c:v>
                </c:pt>
                <c:pt idx="3">
                  <c:v>朝日ストア</c:v>
                </c:pt>
              </c:strCache>
            </c:strRef>
          </c:cat>
          <c:val>
            <c:numRef>
              <c:f>計算表!$K$3:$K$6</c:f>
              <c:numCache>
                <c:formatCode>#,##0_);[Red]\(#,##0\)</c:formatCode>
                <c:ptCount val="4"/>
                <c:pt idx="0">
                  <c:v>3444</c:v>
                </c:pt>
                <c:pt idx="1">
                  <c:v>3189</c:v>
                </c:pt>
                <c:pt idx="2">
                  <c:v>3313</c:v>
                </c:pt>
                <c:pt idx="3">
                  <c:v>3360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3C8-4DF2-B3C7-F54448F97C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237248"/>
        <c:axId val="117238784"/>
      </c:lineChart>
      <c:catAx>
        <c:axId val="117237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100">
                <a:latin typeface="ＭＳ 明朝" panose="02020609040205080304" pitchFamily="17" charset="-128"/>
                <a:ea typeface="ＭＳ 明朝" panose="02020609040205080304" pitchFamily="17" charset="-128"/>
              </a:defRPr>
            </a:pPr>
            <a:endParaRPr lang="ja-JP"/>
          </a:p>
        </c:txPr>
        <c:crossAx val="117238784"/>
        <c:crosses val="autoZero"/>
        <c:auto val="1"/>
        <c:lblAlgn val="ctr"/>
        <c:lblOffset val="100"/>
        <c:noMultiLvlLbl val="0"/>
      </c:catAx>
      <c:valAx>
        <c:axId val="117238784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#,##0_);[Red]\(#,##0\)" sourceLinked="1"/>
        <c:majorTickMark val="none"/>
        <c:minorTickMark val="none"/>
        <c:tickLblPos val="nextTo"/>
        <c:txPr>
          <a:bodyPr/>
          <a:lstStyle/>
          <a:p>
            <a:pPr>
              <a:defRPr sz="1100" baseline="0">
                <a:latin typeface="ＭＳ 明朝" panose="02020609040205080304" pitchFamily="17" charset="-128"/>
                <a:ea typeface="ＭＳ 明朝" panose="02020609040205080304" pitchFamily="17" charset="-128"/>
              </a:defRPr>
            </a:pPr>
            <a:endParaRPr lang="ja-JP"/>
          </a:p>
        </c:txPr>
        <c:crossAx val="117237248"/>
        <c:crosses val="autoZero"/>
        <c:crossBetween val="between"/>
      </c:valAx>
      <c:valAx>
        <c:axId val="633776112"/>
        <c:scaling>
          <c:orientation val="minMax"/>
        </c:scaling>
        <c:delete val="0"/>
        <c:axPos val="r"/>
        <c:numFmt formatCode="#,##0_);[Red]\(#,##0\)" sourceLinked="1"/>
        <c:majorTickMark val="none"/>
        <c:minorTickMark val="none"/>
        <c:tickLblPos val="nextTo"/>
        <c:txPr>
          <a:bodyPr/>
          <a:lstStyle/>
          <a:p>
            <a:pPr>
              <a:defRPr sz="1100" baseline="0">
                <a:latin typeface="ＭＳ 明朝" panose="02020609040205080304" pitchFamily="17" charset="-128"/>
                <a:ea typeface="ＭＳ 明朝" panose="02020609040205080304" pitchFamily="17" charset="-128"/>
              </a:defRPr>
            </a:pPr>
            <a:endParaRPr lang="ja-JP"/>
          </a:p>
        </c:txPr>
        <c:crossAx val="633774472"/>
        <c:crosses val="max"/>
        <c:crossBetween val="between"/>
      </c:valAx>
      <c:catAx>
        <c:axId val="6337744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33776112"/>
        <c:crosses val="autoZero"/>
        <c:auto val="1"/>
        <c:lblAlgn val="ctr"/>
        <c:lblOffset val="100"/>
        <c:noMultiLvlLbl val="0"/>
      </c:cat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1100" baseline="0">
              <a:latin typeface="ＭＳ 明朝" panose="02020609040205080304" pitchFamily="17" charset="-128"/>
              <a:ea typeface="ＭＳ 明朝" panose="02020609040205080304" pitchFamily="17" charset="-128"/>
            </a:defRPr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0</xdr:rowOff>
    </xdr:from>
    <xdr:to>
      <xdr:col>7</xdr:col>
      <xdr:colOff>0</xdr:colOff>
      <xdr:row>0</xdr:row>
      <xdr:rowOff>0</xdr:rowOff>
    </xdr:to>
    <xdr:graphicFrame macro="">
      <xdr:nvGraphicFramePr>
        <xdr:cNvPr id="1025" name="グラフ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0</xdr:row>
      <xdr:rowOff>0</xdr:rowOff>
    </xdr:from>
    <xdr:to>
      <xdr:col>11</xdr:col>
      <xdr:colOff>0</xdr:colOff>
      <xdr:row>0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0</xdr:colOff>
      <xdr:row>0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371474</xdr:colOff>
      <xdr:row>15</xdr:row>
      <xdr:rowOff>9524</xdr:rowOff>
    </xdr:from>
    <xdr:to>
      <xdr:col>19</xdr:col>
      <xdr:colOff>333375</xdr:colOff>
      <xdr:row>32</xdr:row>
      <xdr:rowOff>57149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421F6F2-C6DE-4044-9ABD-78C2CEB17E1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9"/>
  <sheetViews>
    <sheetView tabSelected="1" workbookViewId="0"/>
  </sheetViews>
  <sheetFormatPr defaultRowHeight="13.5"/>
  <cols>
    <col min="1" max="1" width="7.5" style="1" customWidth="1"/>
    <col min="2" max="2" width="7.5" style="1" bestFit="1" customWidth="1"/>
    <col min="3" max="3" width="5.5" style="1" bestFit="1" customWidth="1"/>
    <col min="4" max="6" width="4.5" style="1" bestFit="1" customWidth="1"/>
    <col min="7" max="7" width="4.625" style="1" customWidth="1"/>
    <col min="8" max="8" width="7.5" style="1" bestFit="1" customWidth="1"/>
    <col min="9" max="9" width="11.625" style="1" bestFit="1" customWidth="1"/>
    <col min="10" max="10" width="9.5" style="1" bestFit="1" customWidth="1"/>
    <col min="11" max="11" width="7.5" style="1" bestFit="1" customWidth="1"/>
    <col min="12" max="16384" width="9" style="1"/>
  </cols>
  <sheetData>
    <row r="1" spans="1:11">
      <c r="A1" t="s">
        <v>7</v>
      </c>
      <c r="H1" t="s">
        <v>9</v>
      </c>
    </row>
    <row r="2" spans="1:11">
      <c r="A2" s="55" t="s">
        <v>11</v>
      </c>
      <c r="B2" s="55" t="s">
        <v>8</v>
      </c>
      <c r="C2" s="55" t="s">
        <v>14</v>
      </c>
      <c r="D2" s="55" t="s">
        <v>16</v>
      </c>
      <c r="E2" s="55"/>
      <c r="F2" s="55"/>
      <c r="H2" s="11" t="s">
        <v>12</v>
      </c>
      <c r="I2" s="2" t="s">
        <v>0</v>
      </c>
      <c r="J2" s="11" t="s">
        <v>6</v>
      </c>
      <c r="K2" s="11" t="s">
        <v>10</v>
      </c>
    </row>
    <row r="3" spans="1:11">
      <c r="A3" s="55"/>
      <c r="B3" s="55"/>
      <c r="C3" s="55"/>
      <c r="D3" s="56" t="s">
        <v>17</v>
      </c>
      <c r="E3" s="56"/>
      <c r="F3" s="56"/>
      <c r="H3" s="4">
        <v>101</v>
      </c>
      <c r="I3" s="18" t="s">
        <v>27</v>
      </c>
      <c r="J3" s="15">
        <v>0.108</v>
      </c>
      <c r="K3" s="17">
        <v>3330</v>
      </c>
    </row>
    <row r="4" spans="1:11">
      <c r="A4" s="55"/>
      <c r="B4" s="55"/>
      <c r="C4" s="55"/>
      <c r="D4" s="5">
        <v>1</v>
      </c>
      <c r="E4" s="5">
        <v>250</v>
      </c>
      <c r="F4" s="5">
        <v>450</v>
      </c>
      <c r="H4" s="4">
        <v>102</v>
      </c>
      <c r="I4" s="18" t="s">
        <v>28</v>
      </c>
      <c r="J4" s="15">
        <v>0.11899999999999999</v>
      </c>
      <c r="K4" s="17">
        <v>3520</v>
      </c>
    </row>
    <row r="5" spans="1:11">
      <c r="A5" s="4">
        <v>11</v>
      </c>
      <c r="B5" s="12" t="s">
        <v>18</v>
      </c>
      <c r="C5" s="5">
        <v>550</v>
      </c>
      <c r="D5" s="25">
        <v>7.0000000000000007E-2</v>
      </c>
      <c r="E5" s="25">
        <v>0.08</v>
      </c>
      <c r="F5" s="25">
        <v>0.09</v>
      </c>
      <c r="H5" s="4">
        <v>103</v>
      </c>
      <c r="I5" s="18" t="s">
        <v>29</v>
      </c>
      <c r="J5" s="15">
        <v>0.124</v>
      </c>
      <c r="K5" s="17">
        <v>3720</v>
      </c>
    </row>
    <row r="6" spans="1:11">
      <c r="A6" s="4">
        <v>12</v>
      </c>
      <c r="B6" s="12" t="s">
        <v>19</v>
      </c>
      <c r="C6" s="5">
        <v>730</v>
      </c>
      <c r="D6" s="25">
        <v>0.08</v>
      </c>
      <c r="E6" s="25">
        <v>0.09</v>
      </c>
      <c r="F6" s="25">
        <v>0.1</v>
      </c>
      <c r="H6" s="4">
        <v>104</v>
      </c>
      <c r="I6" s="18" t="s">
        <v>30</v>
      </c>
      <c r="J6" s="15">
        <v>0.127</v>
      </c>
      <c r="K6" s="17">
        <v>3190</v>
      </c>
    </row>
    <row r="7" spans="1:11">
      <c r="A7" s="4">
        <v>13</v>
      </c>
      <c r="B7" s="12" t="s">
        <v>20</v>
      </c>
      <c r="C7" s="5">
        <v>620</v>
      </c>
      <c r="D7" s="25">
        <v>0.09</v>
      </c>
      <c r="E7" s="25">
        <v>0.1</v>
      </c>
      <c r="F7" s="25">
        <v>0.11</v>
      </c>
    </row>
    <row r="8" spans="1:11">
      <c r="A8" s="4">
        <v>14</v>
      </c>
      <c r="B8" s="12" t="s">
        <v>21</v>
      </c>
      <c r="C8" s="5">
        <v>790</v>
      </c>
      <c r="D8" s="25">
        <v>0.11</v>
      </c>
      <c r="E8" s="25">
        <v>0.12</v>
      </c>
      <c r="F8" s="25">
        <v>0.13</v>
      </c>
    </row>
    <row r="9" spans="1:11">
      <c r="A9" s="4">
        <v>15</v>
      </c>
      <c r="B9" s="12" t="s">
        <v>22</v>
      </c>
      <c r="C9" s="5">
        <v>680</v>
      </c>
      <c r="D9" s="25">
        <v>0.13</v>
      </c>
      <c r="E9" s="25">
        <v>0.14000000000000001</v>
      </c>
      <c r="F9" s="25">
        <v>0.15</v>
      </c>
    </row>
  </sheetData>
  <sortState xmlns:xlrd2="http://schemas.microsoft.com/office/spreadsheetml/2017/richdata2" ref="J9">
    <sortCondition ref="J9"/>
  </sortState>
  <mergeCells count="5">
    <mergeCell ref="D2:F2"/>
    <mergeCell ref="D3:F3"/>
    <mergeCell ref="A2:A4"/>
    <mergeCell ref="B2:B4"/>
    <mergeCell ref="C2:C4"/>
  </mergeCells>
  <phoneticPr fontId="2"/>
  <printOptions headings="1"/>
  <pageMargins left="0.70866141732283472" right="0.70866141732283472" top="0.74803149606299213" bottom="0.74803149606299213" header="0.31496062992125984" footer="0.31496062992125984"/>
  <pageSetup paperSize="9" scale="46" orientation="landscape" r:id="rId1"/>
  <headerFooter>
    <oddHeader>&amp;C&amp;A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39"/>
  <sheetViews>
    <sheetView workbookViewId="0"/>
  </sheetViews>
  <sheetFormatPr defaultRowHeight="13.5"/>
  <cols>
    <col min="1" max="3" width="7.5" style="1" bestFit="1" customWidth="1"/>
    <col min="4" max="4" width="11.625" style="1" bestFit="1" customWidth="1"/>
    <col min="5" max="7" width="7.5" style="1" customWidth="1"/>
    <col min="8" max="8" width="5.5" style="1" bestFit="1" customWidth="1"/>
    <col min="9" max="9" width="10.5" style="1" bestFit="1" customWidth="1"/>
    <col min="10" max="10" width="8.5" style="1" bestFit="1" customWidth="1"/>
    <col min="11" max="11" width="7.5" style="1" bestFit="1" customWidth="1"/>
    <col min="12" max="16384" width="9" style="1"/>
  </cols>
  <sheetData>
    <row r="1" spans="1:12">
      <c r="A1" s="8" t="s">
        <v>11</v>
      </c>
      <c r="B1" s="20" t="s">
        <v>8</v>
      </c>
      <c r="C1" s="20" t="s">
        <v>12</v>
      </c>
      <c r="D1" s="20" t="s">
        <v>1</v>
      </c>
      <c r="E1" s="20" t="s">
        <v>2</v>
      </c>
      <c r="F1" s="20" t="s">
        <v>3</v>
      </c>
      <c r="G1" s="20" t="s">
        <v>16</v>
      </c>
      <c r="H1" s="20" t="s">
        <v>15</v>
      </c>
      <c r="I1" s="20" t="s">
        <v>4</v>
      </c>
      <c r="J1" s="20" t="s">
        <v>5</v>
      </c>
      <c r="K1" s="9" t="s">
        <v>23</v>
      </c>
    </row>
    <row r="2" spans="1:12">
      <c r="A2" s="3">
        <v>11</v>
      </c>
      <c r="B2" s="12" t="str">
        <f>VLOOKUP(A2,テーブル!$A$5:$F$9,2,0)</f>
        <v>Ｅ商品</v>
      </c>
      <c r="C2" s="4">
        <v>101</v>
      </c>
      <c r="D2" s="4" t="str">
        <f>VLOOKUP(C2,テーブル!$H$3:$K$6,2,0)</f>
        <v>朝日ストア</v>
      </c>
      <c r="E2" s="21">
        <v>261</v>
      </c>
      <c r="F2" s="21">
        <v>240</v>
      </c>
      <c r="G2" s="26">
        <f>INDEX(テーブル!$D$5:$F$9,MATCH(A2,テーブル!$A$5:$A$9,0),MATCH(F2,テーブル!$D$4:$F$4,1))</f>
        <v>7.0000000000000007E-2</v>
      </c>
      <c r="H2" s="27">
        <f>ROUNDUP(VLOOKUP(A2,テーブル!$A$5:$F$9,3,0)*(1-G2),0)</f>
        <v>512</v>
      </c>
      <c r="I2" s="22">
        <f>H2*F2</f>
        <v>122880</v>
      </c>
      <c r="J2" s="22">
        <f>ROUNDUP(I2*VLOOKUP(C2,テーブル!$H$3:$K$6,3,0),0)</f>
        <v>13272</v>
      </c>
      <c r="K2" s="48">
        <f>ROUNDDOWN(F2/E2,2)</f>
        <v>0.91</v>
      </c>
      <c r="L2" s="29"/>
    </row>
    <row r="3" spans="1:12">
      <c r="A3" s="3">
        <v>11</v>
      </c>
      <c r="B3" s="12" t="str">
        <f>VLOOKUP(A3,テーブル!$A$5:$F$9,2,0)</f>
        <v>Ｅ商品</v>
      </c>
      <c r="C3" s="4">
        <v>102</v>
      </c>
      <c r="D3" s="4" t="str">
        <f>VLOOKUP(C3,テーブル!$H$3:$K$6,2,0)</f>
        <v>新栄百貨店</v>
      </c>
      <c r="E3" s="21">
        <v>328</v>
      </c>
      <c r="F3" s="21">
        <v>317</v>
      </c>
      <c r="G3" s="26">
        <f>INDEX(テーブル!$D$5:$F$9,MATCH(A3,テーブル!$A$5:$A$9,0),MATCH(F3,テーブル!$D$4:$F$4,1))</f>
        <v>0.08</v>
      </c>
      <c r="H3" s="27">
        <f>ROUNDUP(VLOOKUP(A3,テーブル!$A$5:$F$9,3,0)*(1-G3),0)</f>
        <v>506</v>
      </c>
      <c r="I3" s="22">
        <f>H3*F3</f>
        <v>160402</v>
      </c>
      <c r="J3" s="22">
        <f>ROUNDUP(I3*VLOOKUP(C3,テーブル!$H$3:$K$6,3,0),0)</f>
        <v>19088</v>
      </c>
      <c r="K3" s="48">
        <f t="shared" ref="K3:K37" si="0">ROUNDDOWN(F3/E3,2)</f>
        <v>0.96</v>
      </c>
      <c r="L3" s="13"/>
    </row>
    <row r="4" spans="1:12">
      <c r="A4" s="3">
        <v>11</v>
      </c>
      <c r="B4" s="12" t="str">
        <f>VLOOKUP(A4,テーブル!$A$5:$F$9,2,0)</f>
        <v>Ｅ商品</v>
      </c>
      <c r="C4" s="4">
        <v>103</v>
      </c>
      <c r="D4" s="4" t="str">
        <f>VLOOKUP(C4,テーブル!$H$3:$K$6,2,0)</f>
        <v>ひまわり堂</v>
      </c>
      <c r="E4" s="21">
        <v>472</v>
      </c>
      <c r="F4" s="21">
        <v>450</v>
      </c>
      <c r="G4" s="26">
        <f>INDEX(テーブル!$D$5:$F$9,MATCH(A4,テーブル!$A$5:$A$9,0),MATCH(F4,テーブル!$D$4:$F$4,1))</f>
        <v>0.09</v>
      </c>
      <c r="H4" s="27">
        <f>ROUNDUP(VLOOKUP(A4,テーブル!$A$5:$F$9,3,0)*(1-G4),0)</f>
        <v>501</v>
      </c>
      <c r="I4" s="22">
        <f t="shared" ref="I4:I33" si="1">H4*F4</f>
        <v>225450</v>
      </c>
      <c r="J4" s="22">
        <f>ROUNDUP(I4*VLOOKUP(C4,テーブル!$H$3:$K$6,3,0),0)</f>
        <v>27956</v>
      </c>
      <c r="K4" s="48">
        <f t="shared" si="0"/>
        <v>0.95</v>
      </c>
      <c r="L4" s="13"/>
    </row>
    <row r="5" spans="1:12">
      <c r="A5" s="3">
        <v>11</v>
      </c>
      <c r="B5" s="12" t="str">
        <f>VLOOKUP(A5,テーブル!$A$5:$F$9,2,0)</f>
        <v>Ｅ商品</v>
      </c>
      <c r="C5" s="4">
        <v>104</v>
      </c>
      <c r="D5" s="4" t="str">
        <f>VLOOKUP(C5,テーブル!$H$3:$K$6,2,0)</f>
        <v>大久保商事</v>
      </c>
      <c r="E5" s="21">
        <v>280</v>
      </c>
      <c r="F5" s="21">
        <v>248</v>
      </c>
      <c r="G5" s="26">
        <f>INDEX(テーブル!$D$5:$F$9,MATCH(A5,テーブル!$A$5:$A$9,0),MATCH(F5,テーブル!$D$4:$F$4,1))</f>
        <v>7.0000000000000007E-2</v>
      </c>
      <c r="H5" s="27">
        <f>ROUNDUP(VLOOKUP(A5,テーブル!$A$5:$F$9,3,0)*(1-G5),0)</f>
        <v>512</v>
      </c>
      <c r="I5" s="22">
        <f t="shared" si="1"/>
        <v>126976</v>
      </c>
      <c r="J5" s="22">
        <f>ROUNDUP(I5*VLOOKUP(C5,テーブル!$H$3:$K$6,3,0),0)</f>
        <v>16126</v>
      </c>
      <c r="K5" s="48">
        <f t="shared" si="0"/>
        <v>0.88</v>
      </c>
      <c r="L5" s="13"/>
    </row>
    <row r="6" spans="1:12">
      <c r="A6" s="3">
        <v>12</v>
      </c>
      <c r="B6" s="12" t="str">
        <f>VLOOKUP(A6,テーブル!$A$5:$F$9,2,0)</f>
        <v>Ｆ商品</v>
      </c>
      <c r="C6" s="4">
        <v>101</v>
      </c>
      <c r="D6" s="4" t="str">
        <f>VLOOKUP(C6,テーブル!$H$3:$K$6,2,0)</f>
        <v>朝日ストア</v>
      </c>
      <c r="E6" s="21">
        <v>250</v>
      </c>
      <c r="F6" s="21">
        <v>235</v>
      </c>
      <c r="G6" s="26">
        <f>INDEX(テーブル!$D$5:$F$9,MATCH(A6,テーブル!$A$5:$A$9,0),MATCH(F6,テーブル!$D$4:$F$4,1))</f>
        <v>0.08</v>
      </c>
      <c r="H6" s="27">
        <f>ROUNDUP(VLOOKUP(A6,テーブル!$A$5:$F$9,3,0)*(1-G6),0)</f>
        <v>672</v>
      </c>
      <c r="I6" s="22">
        <f t="shared" si="1"/>
        <v>157920</v>
      </c>
      <c r="J6" s="22">
        <f>ROUNDUP(I6*VLOOKUP(C6,テーブル!$H$3:$K$6,3,0),0)</f>
        <v>17056</v>
      </c>
      <c r="K6" s="48">
        <f t="shared" si="0"/>
        <v>0.94</v>
      </c>
      <c r="L6" s="13"/>
    </row>
    <row r="7" spans="1:12">
      <c r="A7" s="3">
        <v>12</v>
      </c>
      <c r="B7" s="12" t="str">
        <f>VLOOKUP(A7,テーブル!$A$5:$F$9,2,0)</f>
        <v>Ｆ商品</v>
      </c>
      <c r="C7" s="4">
        <v>102</v>
      </c>
      <c r="D7" s="4" t="str">
        <f>VLOOKUP(C7,テーブル!$H$3:$K$6,2,0)</f>
        <v>新栄百貨店</v>
      </c>
      <c r="E7" s="21">
        <v>480</v>
      </c>
      <c r="F7" s="21">
        <v>456</v>
      </c>
      <c r="G7" s="26">
        <f>INDEX(テーブル!$D$5:$F$9,MATCH(A7,テーブル!$A$5:$A$9,0),MATCH(F7,テーブル!$D$4:$F$4,1))</f>
        <v>0.1</v>
      </c>
      <c r="H7" s="27">
        <f>ROUNDUP(VLOOKUP(A7,テーブル!$A$5:$F$9,3,0)*(1-G7),0)</f>
        <v>657</v>
      </c>
      <c r="I7" s="22">
        <f t="shared" si="1"/>
        <v>299592</v>
      </c>
      <c r="J7" s="22">
        <f>ROUNDUP(I7*VLOOKUP(C7,テーブル!$H$3:$K$6,3,0),0)</f>
        <v>35652</v>
      </c>
      <c r="K7" s="48">
        <f t="shared" si="0"/>
        <v>0.95</v>
      </c>
      <c r="L7" s="13"/>
    </row>
    <row r="8" spans="1:12">
      <c r="A8" s="3">
        <v>12</v>
      </c>
      <c r="B8" s="12" t="str">
        <f>VLOOKUP(A8,テーブル!$A$5:$F$9,2,0)</f>
        <v>Ｆ商品</v>
      </c>
      <c r="C8" s="4">
        <v>103</v>
      </c>
      <c r="D8" s="4" t="str">
        <f>VLOOKUP(C8,テーブル!$H$3:$K$6,2,0)</f>
        <v>ひまわり堂</v>
      </c>
      <c r="E8" s="21">
        <v>362</v>
      </c>
      <c r="F8" s="21">
        <v>349</v>
      </c>
      <c r="G8" s="26">
        <f>INDEX(テーブル!$D$5:$F$9,MATCH(A8,テーブル!$A$5:$A$9,0),MATCH(F8,テーブル!$D$4:$F$4,1))</f>
        <v>0.09</v>
      </c>
      <c r="H8" s="27">
        <f>ROUNDUP(VLOOKUP(A8,テーブル!$A$5:$F$9,3,0)*(1-G8),0)</f>
        <v>665</v>
      </c>
      <c r="I8" s="22">
        <f t="shared" si="1"/>
        <v>232085</v>
      </c>
      <c r="J8" s="22">
        <f>ROUNDUP(I8*VLOOKUP(C8,テーブル!$H$3:$K$6,3,0),0)</f>
        <v>28779</v>
      </c>
      <c r="K8" s="48">
        <f t="shared" si="0"/>
        <v>0.96</v>
      </c>
      <c r="L8" s="13"/>
    </row>
    <row r="9" spans="1:12">
      <c r="A9" s="3">
        <v>12</v>
      </c>
      <c r="B9" s="12" t="str">
        <f>VLOOKUP(A9,テーブル!$A$5:$F$9,2,0)</f>
        <v>Ｆ商品</v>
      </c>
      <c r="C9" s="4">
        <v>104</v>
      </c>
      <c r="D9" s="4" t="str">
        <f>VLOOKUP(C9,テーブル!$H$3:$K$6,2,0)</f>
        <v>大久保商事</v>
      </c>
      <c r="E9" s="21">
        <v>481</v>
      </c>
      <c r="F9" s="21">
        <v>451</v>
      </c>
      <c r="G9" s="26">
        <f>INDEX(テーブル!$D$5:$F$9,MATCH(A9,テーブル!$A$5:$A$9,0),MATCH(F9,テーブル!$D$4:$F$4,1))</f>
        <v>0.1</v>
      </c>
      <c r="H9" s="27">
        <f>ROUNDUP(VLOOKUP(A9,テーブル!$A$5:$F$9,3,0)*(1-G9),0)</f>
        <v>657</v>
      </c>
      <c r="I9" s="22">
        <f t="shared" si="1"/>
        <v>296307</v>
      </c>
      <c r="J9" s="22">
        <f>ROUNDUP(I9*VLOOKUP(C9,テーブル!$H$3:$K$6,3,0),0)</f>
        <v>37631</v>
      </c>
      <c r="K9" s="48">
        <f t="shared" si="0"/>
        <v>0.93</v>
      </c>
      <c r="L9" s="13"/>
    </row>
    <row r="10" spans="1:12">
      <c r="A10" s="3">
        <v>13</v>
      </c>
      <c r="B10" s="12" t="str">
        <f>VLOOKUP(A10,テーブル!$A$5:$F$9,2,0)</f>
        <v>Ｇ商品</v>
      </c>
      <c r="C10" s="4">
        <v>101</v>
      </c>
      <c r="D10" s="4" t="str">
        <f>VLOOKUP(C10,テーブル!$H$3:$K$6,2,0)</f>
        <v>朝日ストア</v>
      </c>
      <c r="E10" s="21">
        <v>239</v>
      </c>
      <c r="F10" s="21">
        <v>213</v>
      </c>
      <c r="G10" s="26">
        <f>INDEX(テーブル!$D$5:$F$9,MATCH(A10,テーブル!$A$5:$A$9,0),MATCH(F10,テーブル!$D$4:$F$4,1))</f>
        <v>0.09</v>
      </c>
      <c r="H10" s="27">
        <f>ROUNDUP(VLOOKUP(A10,テーブル!$A$5:$F$9,3,0)*(1-G10),0)</f>
        <v>565</v>
      </c>
      <c r="I10" s="22">
        <f t="shared" si="1"/>
        <v>120345</v>
      </c>
      <c r="J10" s="22">
        <f>ROUNDUP(I10*VLOOKUP(C10,テーブル!$H$3:$K$6,3,0),0)</f>
        <v>12998</v>
      </c>
      <c r="K10" s="48">
        <f t="shared" si="0"/>
        <v>0.89</v>
      </c>
      <c r="L10" s="13"/>
    </row>
    <row r="11" spans="1:12">
      <c r="A11" s="3">
        <v>13</v>
      </c>
      <c r="B11" s="12" t="str">
        <f>VLOOKUP(A11,テーブル!$A$5:$F$9,2,0)</f>
        <v>Ｇ商品</v>
      </c>
      <c r="C11" s="4">
        <v>102</v>
      </c>
      <c r="D11" s="4" t="str">
        <f>VLOOKUP(C11,テーブル!$H$3:$K$6,2,0)</f>
        <v>新栄百貨店</v>
      </c>
      <c r="E11" s="21">
        <v>391</v>
      </c>
      <c r="F11" s="21">
        <v>358</v>
      </c>
      <c r="G11" s="26">
        <f>INDEX(テーブル!$D$5:$F$9,MATCH(A11,テーブル!$A$5:$A$9,0),MATCH(F11,テーブル!$D$4:$F$4,1))</f>
        <v>0.1</v>
      </c>
      <c r="H11" s="27">
        <f>ROUNDUP(VLOOKUP(A11,テーブル!$A$5:$F$9,3,0)*(1-G11),0)</f>
        <v>558</v>
      </c>
      <c r="I11" s="22">
        <f t="shared" si="1"/>
        <v>199764</v>
      </c>
      <c r="J11" s="22">
        <f>ROUNDUP(I11*VLOOKUP(C11,テーブル!$H$3:$K$6,3,0),0)</f>
        <v>23772</v>
      </c>
      <c r="K11" s="48">
        <f t="shared" si="0"/>
        <v>0.91</v>
      </c>
      <c r="L11" s="13"/>
    </row>
    <row r="12" spans="1:12">
      <c r="A12" s="3">
        <v>13</v>
      </c>
      <c r="B12" s="12" t="str">
        <f>VLOOKUP(A12,テーブル!$A$5:$F$9,2,0)</f>
        <v>Ｇ商品</v>
      </c>
      <c r="C12" s="4">
        <v>103</v>
      </c>
      <c r="D12" s="4" t="str">
        <f>VLOOKUP(C12,テーブル!$H$3:$K$6,2,0)</f>
        <v>ひまわり堂</v>
      </c>
      <c r="E12" s="21">
        <v>503</v>
      </c>
      <c r="F12" s="21">
        <v>457</v>
      </c>
      <c r="G12" s="26">
        <f>INDEX(テーブル!$D$5:$F$9,MATCH(A12,テーブル!$A$5:$A$9,0),MATCH(F12,テーブル!$D$4:$F$4,1))</f>
        <v>0.11</v>
      </c>
      <c r="H12" s="27">
        <f>ROUNDUP(VLOOKUP(A12,テーブル!$A$5:$F$9,3,0)*(1-G12),0)</f>
        <v>552</v>
      </c>
      <c r="I12" s="22">
        <f t="shared" si="1"/>
        <v>252264</v>
      </c>
      <c r="J12" s="22">
        <f>ROUNDUP(I12*VLOOKUP(C12,テーブル!$H$3:$K$6,3,0),0)</f>
        <v>31281</v>
      </c>
      <c r="K12" s="48">
        <f t="shared" si="0"/>
        <v>0.9</v>
      </c>
      <c r="L12" s="13"/>
    </row>
    <row r="13" spans="1:12">
      <c r="A13" s="3">
        <v>13</v>
      </c>
      <c r="B13" s="12" t="str">
        <f>VLOOKUP(A13,テーブル!$A$5:$F$9,2,0)</f>
        <v>Ｇ商品</v>
      </c>
      <c r="C13" s="4">
        <v>104</v>
      </c>
      <c r="D13" s="4" t="str">
        <f>VLOOKUP(C13,テーブル!$H$3:$K$6,2,0)</f>
        <v>大久保商事</v>
      </c>
      <c r="E13" s="21">
        <v>536</v>
      </c>
      <c r="F13" s="21">
        <v>496</v>
      </c>
      <c r="G13" s="26">
        <f>INDEX(テーブル!$D$5:$F$9,MATCH(A13,テーブル!$A$5:$A$9,0),MATCH(F13,テーブル!$D$4:$F$4,1))</f>
        <v>0.11</v>
      </c>
      <c r="H13" s="27">
        <f>ROUNDUP(VLOOKUP(A13,テーブル!$A$5:$F$9,3,0)*(1-G13),0)</f>
        <v>552</v>
      </c>
      <c r="I13" s="22">
        <f t="shared" si="1"/>
        <v>273792</v>
      </c>
      <c r="J13" s="22">
        <f>ROUNDUP(I13*VLOOKUP(C13,テーブル!$H$3:$K$6,3,0),0)</f>
        <v>34772</v>
      </c>
      <c r="K13" s="48">
        <f t="shared" si="0"/>
        <v>0.92</v>
      </c>
      <c r="L13" s="13"/>
    </row>
    <row r="14" spans="1:12">
      <c r="A14" s="3">
        <v>14</v>
      </c>
      <c r="B14" s="12" t="str">
        <f>VLOOKUP(A14,テーブル!$A$5:$F$9,2,0)</f>
        <v>Ｈ商品</v>
      </c>
      <c r="C14" s="4">
        <v>101</v>
      </c>
      <c r="D14" s="4" t="str">
        <f>VLOOKUP(C14,テーブル!$H$3:$K$6,2,0)</f>
        <v>朝日ストア</v>
      </c>
      <c r="E14" s="21">
        <v>549</v>
      </c>
      <c r="F14" s="21">
        <v>509</v>
      </c>
      <c r="G14" s="26">
        <f>INDEX(テーブル!$D$5:$F$9,MATCH(A14,テーブル!$A$5:$A$9,0),MATCH(F14,テーブル!$D$4:$F$4,1))</f>
        <v>0.13</v>
      </c>
      <c r="H14" s="27">
        <f>ROUNDUP(VLOOKUP(A14,テーブル!$A$5:$F$9,3,0)*(1-G14),0)</f>
        <v>688</v>
      </c>
      <c r="I14" s="22">
        <f t="shared" si="1"/>
        <v>350192</v>
      </c>
      <c r="J14" s="22">
        <f>ROUNDUP(I14*VLOOKUP(C14,テーブル!$H$3:$K$6,3,0),0)</f>
        <v>37821</v>
      </c>
      <c r="K14" s="48">
        <f t="shared" si="0"/>
        <v>0.92</v>
      </c>
      <c r="L14" s="13"/>
    </row>
    <row r="15" spans="1:12">
      <c r="A15" s="3">
        <v>14</v>
      </c>
      <c r="B15" s="12" t="str">
        <f>VLOOKUP(A15,テーブル!$A$5:$F$9,2,0)</f>
        <v>Ｈ商品</v>
      </c>
      <c r="C15" s="4">
        <v>102</v>
      </c>
      <c r="D15" s="4" t="str">
        <f>VLOOKUP(C15,テーブル!$H$3:$K$6,2,0)</f>
        <v>新栄百貨店</v>
      </c>
      <c r="E15" s="21">
        <v>214</v>
      </c>
      <c r="F15" s="21">
        <v>195</v>
      </c>
      <c r="G15" s="26">
        <f>INDEX(テーブル!$D$5:$F$9,MATCH(A15,テーブル!$A$5:$A$9,0),MATCH(F15,テーブル!$D$4:$F$4,1))</f>
        <v>0.11</v>
      </c>
      <c r="H15" s="27">
        <f>ROUNDUP(VLOOKUP(A15,テーブル!$A$5:$F$9,3,0)*(1-G15),0)</f>
        <v>704</v>
      </c>
      <c r="I15" s="22">
        <f t="shared" si="1"/>
        <v>137280</v>
      </c>
      <c r="J15" s="22">
        <f>ROUNDUP(I15*VLOOKUP(C15,テーブル!$H$3:$K$6,3,0),0)</f>
        <v>16337</v>
      </c>
      <c r="K15" s="48">
        <f t="shared" si="0"/>
        <v>0.91</v>
      </c>
      <c r="L15" s="13"/>
    </row>
    <row r="16" spans="1:12">
      <c r="A16" s="3">
        <v>14</v>
      </c>
      <c r="B16" s="12" t="str">
        <f>VLOOKUP(A16,テーブル!$A$5:$F$9,2,0)</f>
        <v>Ｈ商品</v>
      </c>
      <c r="C16" s="4">
        <v>103</v>
      </c>
      <c r="D16" s="4" t="str">
        <f>VLOOKUP(C16,テーブル!$H$3:$K$6,2,0)</f>
        <v>ひまわり堂</v>
      </c>
      <c r="E16" s="21">
        <v>432</v>
      </c>
      <c r="F16" s="21">
        <v>392</v>
      </c>
      <c r="G16" s="26">
        <f>INDEX(テーブル!$D$5:$F$9,MATCH(A16,テーブル!$A$5:$A$9,0),MATCH(F16,テーブル!$D$4:$F$4,1))</f>
        <v>0.12</v>
      </c>
      <c r="H16" s="27">
        <f>ROUNDUP(VLOOKUP(A16,テーブル!$A$5:$F$9,3,0)*(1-G16),0)</f>
        <v>696</v>
      </c>
      <c r="I16" s="22">
        <f t="shared" si="1"/>
        <v>272832</v>
      </c>
      <c r="J16" s="22">
        <f>ROUNDUP(I16*VLOOKUP(C16,テーブル!$H$3:$K$6,3,0),0)</f>
        <v>33832</v>
      </c>
      <c r="K16" s="48">
        <f t="shared" si="0"/>
        <v>0.9</v>
      </c>
      <c r="L16" s="13"/>
    </row>
    <row r="17" spans="1:12">
      <c r="A17" s="3">
        <v>15</v>
      </c>
      <c r="B17" s="12" t="str">
        <f>VLOOKUP(A17,テーブル!$A$5:$F$9,2,0)</f>
        <v>Ｉ商品</v>
      </c>
      <c r="C17" s="4">
        <v>101</v>
      </c>
      <c r="D17" s="4" t="str">
        <f>VLOOKUP(C17,テーブル!$H$3:$K$6,2,0)</f>
        <v>朝日ストア</v>
      </c>
      <c r="E17" s="21">
        <v>576</v>
      </c>
      <c r="F17" s="21">
        <v>534</v>
      </c>
      <c r="G17" s="26">
        <f>INDEX(テーブル!$D$5:$F$9,MATCH(A17,テーブル!$A$5:$A$9,0),MATCH(F17,テーブル!$D$4:$F$4,1))</f>
        <v>0.15</v>
      </c>
      <c r="H17" s="27">
        <f>ROUNDUP(VLOOKUP(A17,テーブル!$A$5:$F$9,3,0)*(1-G17),0)</f>
        <v>578</v>
      </c>
      <c r="I17" s="22">
        <f t="shared" si="1"/>
        <v>308652</v>
      </c>
      <c r="J17" s="22">
        <f>ROUNDUP(I17*VLOOKUP(C17,テーブル!$H$3:$K$6,3,0),0)</f>
        <v>33335</v>
      </c>
      <c r="K17" s="48">
        <f t="shared" si="0"/>
        <v>0.92</v>
      </c>
      <c r="L17" s="13"/>
    </row>
    <row r="18" spans="1:12">
      <c r="A18" s="3">
        <v>15</v>
      </c>
      <c r="B18" s="12" t="str">
        <f>VLOOKUP(A18,テーブル!$A$5:$F$9,2,0)</f>
        <v>Ｉ商品</v>
      </c>
      <c r="C18" s="4">
        <v>102</v>
      </c>
      <c r="D18" s="4" t="str">
        <f>VLOOKUP(C18,テーブル!$H$3:$K$6,2,0)</f>
        <v>新栄百貨店</v>
      </c>
      <c r="E18" s="21">
        <v>544</v>
      </c>
      <c r="F18" s="21">
        <v>516</v>
      </c>
      <c r="G18" s="26">
        <f>INDEX(テーブル!$D$5:$F$9,MATCH(A18,テーブル!$A$5:$A$9,0),MATCH(F18,テーブル!$D$4:$F$4,1))</f>
        <v>0.15</v>
      </c>
      <c r="H18" s="27">
        <f>ROUNDUP(VLOOKUP(A18,テーブル!$A$5:$F$9,3,0)*(1-G18),0)</f>
        <v>578</v>
      </c>
      <c r="I18" s="22">
        <f t="shared" si="1"/>
        <v>298248</v>
      </c>
      <c r="J18" s="22">
        <f>ROUNDUP(I18*VLOOKUP(C18,テーブル!$H$3:$K$6,3,0),0)</f>
        <v>35492</v>
      </c>
      <c r="K18" s="48">
        <f t="shared" si="0"/>
        <v>0.94</v>
      </c>
      <c r="L18" s="13"/>
    </row>
    <row r="19" spans="1:12">
      <c r="A19" s="3">
        <v>15</v>
      </c>
      <c r="B19" s="12" t="str">
        <f>VLOOKUP(A19,テーブル!$A$5:$F$9,2,0)</f>
        <v>Ｉ商品</v>
      </c>
      <c r="C19" s="4">
        <v>104</v>
      </c>
      <c r="D19" s="4" t="str">
        <f>VLOOKUP(C19,テーブル!$H$3:$K$6,2,0)</f>
        <v>大久保商事</v>
      </c>
      <c r="E19" s="21">
        <v>431</v>
      </c>
      <c r="F19" s="21">
        <v>395</v>
      </c>
      <c r="G19" s="26">
        <f>INDEX(テーブル!$D$5:$F$9,MATCH(A19,テーブル!$A$5:$A$9,0),MATCH(F19,テーブル!$D$4:$F$4,1))</f>
        <v>0.14000000000000001</v>
      </c>
      <c r="H19" s="27">
        <f>ROUNDUP(VLOOKUP(A19,テーブル!$A$5:$F$9,3,0)*(1-G19),0)</f>
        <v>585</v>
      </c>
      <c r="I19" s="22">
        <f t="shared" si="1"/>
        <v>231075</v>
      </c>
      <c r="J19" s="22">
        <f>ROUNDUP(I19*VLOOKUP(C19,テーブル!$H$3:$K$6,3,0),0)</f>
        <v>29347</v>
      </c>
      <c r="K19" s="48">
        <f t="shared" si="0"/>
        <v>0.91</v>
      </c>
      <c r="L19" s="13"/>
    </row>
    <row r="20" spans="1:12">
      <c r="A20" s="3">
        <v>11</v>
      </c>
      <c r="B20" s="12" t="str">
        <f>VLOOKUP(A20,テーブル!$A$5:$F$9,2,0)</f>
        <v>Ｅ商品</v>
      </c>
      <c r="C20" s="4">
        <v>102</v>
      </c>
      <c r="D20" s="4" t="str">
        <f>VLOOKUP(C20,テーブル!$H$3:$K$6,2,0)</f>
        <v>新栄百貨店</v>
      </c>
      <c r="E20" s="21">
        <v>443</v>
      </c>
      <c r="F20" s="21">
        <v>419</v>
      </c>
      <c r="G20" s="26">
        <f>INDEX(テーブル!$D$5:$F$9,MATCH(A20,テーブル!$A$5:$A$9,0),MATCH(F20,テーブル!$D$4:$F$4,1))</f>
        <v>0.08</v>
      </c>
      <c r="H20" s="27">
        <f>ROUNDUP(VLOOKUP(A20,テーブル!$A$5:$F$9,3,0)*(1-G20),0)</f>
        <v>506</v>
      </c>
      <c r="I20" s="22">
        <f t="shared" si="1"/>
        <v>212014</v>
      </c>
      <c r="J20" s="22">
        <f>ROUNDUP(I20*VLOOKUP(C20,テーブル!$H$3:$K$6,3,0),0)</f>
        <v>25230</v>
      </c>
      <c r="K20" s="48">
        <f t="shared" si="0"/>
        <v>0.94</v>
      </c>
      <c r="L20" s="13"/>
    </row>
    <row r="21" spans="1:12">
      <c r="A21" s="3">
        <v>11</v>
      </c>
      <c r="B21" s="12" t="str">
        <f>VLOOKUP(A21,テーブル!$A$5:$F$9,2,0)</f>
        <v>Ｅ商品</v>
      </c>
      <c r="C21" s="4">
        <v>103</v>
      </c>
      <c r="D21" s="4" t="str">
        <f>VLOOKUP(C21,テーブル!$H$3:$K$6,2,0)</f>
        <v>ひまわり堂</v>
      </c>
      <c r="E21" s="21">
        <v>490</v>
      </c>
      <c r="F21" s="21">
        <v>450</v>
      </c>
      <c r="G21" s="26">
        <f>INDEX(テーブル!$D$5:$F$9,MATCH(A21,テーブル!$A$5:$A$9,0),MATCH(F21,テーブル!$D$4:$F$4,1))</f>
        <v>0.09</v>
      </c>
      <c r="H21" s="27">
        <f>ROUNDUP(VLOOKUP(A21,テーブル!$A$5:$F$9,3,0)*(1-G21),0)</f>
        <v>501</v>
      </c>
      <c r="I21" s="22">
        <f t="shared" si="1"/>
        <v>225450</v>
      </c>
      <c r="J21" s="22">
        <f>ROUNDUP(I21*VLOOKUP(C21,テーブル!$H$3:$K$6,3,0),0)</f>
        <v>27956</v>
      </c>
      <c r="K21" s="48">
        <f t="shared" si="0"/>
        <v>0.91</v>
      </c>
      <c r="L21" s="13"/>
    </row>
    <row r="22" spans="1:12">
      <c r="A22" s="3">
        <v>11</v>
      </c>
      <c r="B22" s="12" t="str">
        <f>VLOOKUP(A22,テーブル!$A$5:$F$9,2,0)</f>
        <v>Ｅ商品</v>
      </c>
      <c r="C22" s="4">
        <v>104</v>
      </c>
      <c r="D22" s="4" t="str">
        <f>VLOOKUP(C22,テーブル!$H$3:$K$6,2,0)</f>
        <v>大久保商事</v>
      </c>
      <c r="E22" s="21">
        <v>443</v>
      </c>
      <c r="F22" s="21">
        <v>400</v>
      </c>
      <c r="G22" s="26">
        <f>INDEX(テーブル!$D$5:$F$9,MATCH(A22,テーブル!$A$5:$A$9,0),MATCH(F22,テーブル!$D$4:$F$4,1))</f>
        <v>0.08</v>
      </c>
      <c r="H22" s="27">
        <f>ROUNDUP(VLOOKUP(A22,テーブル!$A$5:$F$9,3,0)*(1-G22),0)</f>
        <v>506</v>
      </c>
      <c r="I22" s="22">
        <f t="shared" si="1"/>
        <v>202400</v>
      </c>
      <c r="J22" s="22">
        <f>ROUNDUP(I22*VLOOKUP(C22,テーブル!$H$3:$K$6,3,0),0)</f>
        <v>25705</v>
      </c>
      <c r="K22" s="48">
        <f t="shared" si="0"/>
        <v>0.9</v>
      </c>
      <c r="L22" s="13"/>
    </row>
    <row r="23" spans="1:12">
      <c r="A23" s="3">
        <v>12</v>
      </c>
      <c r="B23" s="12" t="str">
        <f>VLOOKUP(A23,テーブル!$A$5:$F$9,2,0)</f>
        <v>Ｆ商品</v>
      </c>
      <c r="C23" s="4">
        <v>101</v>
      </c>
      <c r="D23" s="4" t="str">
        <f>VLOOKUP(C23,テーブル!$H$3:$K$6,2,0)</f>
        <v>朝日ストア</v>
      </c>
      <c r="E23" s="21">
        <v>486</v>
      </c>
      <c r="F23" s="21">
        <v>452</v>
      </c>
      <c r="G23" s="26">
        <f>INDEX(テーブル!$D$5:$F$9,MATCH(A23,テーブル!$A$5:$A$9,0),MATCH(F23,テーブル!$D$4:$F$4,1))</f>
        <v>0.1</v>
      </c>
      <c r="H23" s="27">
        <f>ROUNDUP(VLOOKUP(A23,テーブル!$A$5:$F$9,3,0)*(1-G23),0)</f>
        <v>657</v>
      </c>
      <c r="I23" s="22">
        <f t="shared" si="1"/>
        <v>296964</v>
      </c>
      <c r="J23" s="22">
        <f>ROUNDUP(I23*VLOOKUP(C23,テーブル!$H$3:$K$6,3,0),0)</f>
        <v>32073</v>
      </c>
      <c r="K23" s="48">
        <f t="shared" si="0"/>
        <v>0.93</v>
      </c>
      <c r="L23" s="13"/>
    </row>
    <row r="24" spans="1:12">
      <c r="A24" s="3">
        <v>12</v>
      </c>
      <c r="B24" s="12" t="str">
        <f>VLOOKUP(A24,テーブル!$A$5:$F$9,2,0)</f>
        <v>Ｆ商品</v>
      </c>
      <c r="C24" s="4">
        <v>103</v>
      </c>
      <c r="D24" s="4" t="str">
        <f>VLOOKUP(C24,テーブル!$H$3:$K$6,2,0)</f>
        <v>ひまわり堂</v>
      </c>
      <c r="E24" s="21">
        <v>328</v>
      </c>
      <c r="F24" s="21">
        <v>304</v>
      </c>
      <c r="G24" s="26">
        <f>INDEX(テーブル!$D$5:$F$9,MATCH(A24,テーブル!$A$5:$A$9,0),MATCH(F24,テーブル!$D$4:$F$4,1))</f>
        <v>0.09</v>
      </c>
      <c r="H24" s="27">
        <f>ROUNDUP(VLOOKUP(A24,テーブル!$A$5:$F$9,3,0)*(1-G24),0)</f>
        <v>665</v>
      </c>
      <c r="I24" s="22">
        <f t="shared" si="1"/>
        <v>202160</v>
      </c>
      <c r="J24" s="22">
        <f>ROUNDUP(I24*VLOOKUP(C24,テーブル!$H$3:$K$6,3,0),0)</f>
        <v>25068</v>
      </c>
      <c r="K24" s="48">
        <f t="shared" si="0"/>
        <v>0.92</v>
      </c>
      <c r="L24" s="13"/>
    </row>
    <row r="25" spans="1:12">
      <c r="A25" s="3">
        <v>12</v>
      </c>
      <c r="B25" s="12" t="str">
        <f>VLOOKUP(A25,テーブル!$A$5:$F$9,2,0)</f>
        <v>Ｆ商品</v>
      </c>
      <c r="C25" s="4">
        <v>104</v>
      </c>
      <c r="D25" s="4" t="str">
        <f>VLOOKUP(C25,テーブル!$H$3:$K$6,2,0)</f>
        <v>大久保商事</v>
      </c>
      <c r="E25" s="21">
        <v>236</v>
      </c>
      <c r="F25" s="21">
        <v>219</v>
      </c>
      <c r="G25" s="26">
        <f>INDEX(テーブル!$D$5:$F$9,MATCH(A25,テーブル!$A$5:$A$9,0),MATCH(F25,テーブル!$D$4:$F$4,1))</f>
        <v>0.08</v>
      </c>
      <c r="H25" s="27">
        <f>ROUNDUP(VLOOKUP(A25,テーブル!$A$5:$F$9,3,0)*(1-G25),0)</f>
        <v>672</v>
      </c>
      <c r="I25" s="22">
        <f t="shared" si="1"/>
        <v>147168</v>
      </c>
      <c r="J25" s="22">
        <f>ROUNDUP(I25*VLOOKUP(C25,テーブル!$H$3:$K$6,3,0),0)</f>
        <v>18691</v>
      </c>
      <c r="K25" s="48">
        <f t="shared" si="0"/>
        <v>0.92</v>
      </c>
      <c r="L25" s="13"/>
    </row>
    <row r="26" spans="1:12">
      <c r="A26" s="3">
        <v>13</v>
      </c>
      <c r="B26" s="12" t="str">
        <f>VLOOKUP(A26,テーブル!$A$5:$F$9,2,0)</f>
        <v>Ｇ商品</v>
      </c>
      <c r="C26" s="4">
        <v>101</v>
      </c>
      <c r="D26" s="4" t="str">
        <f>VLOOKUP(C26,テーブル!$H$3:$K$6,2,0)</f>
        <v>朝日ストア</v>
      </c>
      <c r="E26" s="21">
        <v>528</v>
      </c>
      <c r="F26" s="21">
        <v>479</v>
      </c>
      <c r="G26" s="26">
        <f>INDEX(テーブル!$D$5:$F$9,MATCH(A26,テーブル!$A$5:$A$9,0),MATCH(F26,テーブル!$D$4:$F$4,1))</f>
        <v>0.11</v>
      </c>
      <c r="H26" s="27">
        <f>ROUNDUP(VLOOKUP(A26,テーブル!$A$5:$F$9,3,0)*(1-G26),0)</f>
        <v>552</v>
      </c>
      <c r="I26" s="22">
        <f t="shared" si="1"/>
        <v>264408</v>
      </c>
      <c r="J26" s="22">
        <f>ROUNDUP(I26*VLOOKUP(C26,テーブル!$H$3:$K$6,3,0),0)</f>
        <v>28557</v>
      </c>
      <c r="K26" s="48">
        <f t="shared" si="0"/>
        <v>0.9</v>
      </c>
      <c r="L26" s="13"/>
    </row>
    <row r="27" spans="1:12">
      <c r="A27" s="3">
        <v>13</v>
      </c>
      <c r="B27" s="12" t="str">
        <f>VLOOKUP(A27,テーブル!$A$5:$F$9,2,0)</f>
        <v>Ｇ商品</v>
      </c>
      <c r="C27" s="4">
        <v>102</v>
      </c>
      <c r="D27" s="4" t="str">
        <f>VLOOKUP(C27,テーブル!$H$3:$K$6,2,0)</f>
        <v>新栄百貨店</v>
      </c>
      <c r="E27" s="21">
        <v>462</v>
      </c>
      <c r="F27" s="21">
        <v>430</v>
      </c>
      <c r="G27" s="26">
        <f>INDEX(テーブル!$D$5:$F$9,MATCH(A27,テーブル!$A$5:$A$9,0),MATCH(F27,テーブル!$D$4:$F$4,1))</f>
        <v>0.1</v>
      </c>
      <c r="H27" s="27">
        <f>ROUNDUP(VLOOKUP(A27,テーブル!$A$5:$F$9,3,0)*(1-G27),0)</f>
        <v>558</v>
      </c>
      <c r="I27" s="22">
        <f t="shared" si="1"/>
        <v>239940</v>
      </c>
      <c r="J27" s="22">
        <f>ROUNDUP(I27*VLOOKUP(C27,テーブル!$H$3:$K$6,3,0),0)</f>
        <v>28553</v>
      </c>
      <c r="K27" s="48">
        <f t="shared" si="0"/>
        <v>0.93</v>
      </c>
      <c r="L27" s="13"/>
    </row>
    <row r="28" spans="1:12">
      <c r="A28" s="3">
        <v>13</v>
      </c>
      <c r="B28" s="12" t="str">
        <f>VLOOKUP(A28,テーブル!$A$5:$F$9,2,0)</f>
        <v>Ｇ商品</v>
      </c>
      <c r="C28" s="4">
        <v>103</v>
      </c>
      <c r="D28" s="4" t="str">
        <f>VLOOKUP(C28,テーブル!$H$3:$K$6,2,0)</f>
        <v>ひまわり堂</v>
      </c>
      <c r="E28" s="21">
        <v>381</v>
      </c>
      <c r="F28" s="21">
        <v>352</v>
      </c>
      <c r="G28" s="26">
        <f>INDEX(テーブル!$D$5:$F$9,MATCH(A28,テーブル!$A$5:$A$9,0),MATCH(F28,テーブル!$D$4:$F$4,1))</f>
        <v>0.1</v>
      </c>
      <c r="H28" s="27">
        <f>ROUNDUP(VLOOKUP(A28,テーブル!$A$5:$F$9,3,0)*(1-G28),0)</f>
        <v>558</v>
      </c>
      <c r="I28" s="22">
        <f t="shared" si="1"/>
        <v>196416</v>
      </c>
      <c r="J28" s="22">
        <f>ROUNDUP(I28*VLOOKUP(C28,テーブル!$H$3:$K$6,3,0),0)</f>
        <v>24356</v>
      </c>
      <c r="K28" s="48">
        <f t="shared" si="0"/>
        <v>0.92</v>
      </c>
      <c r="L28" s="13"/>
    </row>
    <row r="29" spans="1:12">
      <c r="A29" s="3">
        <v>13</v>
      </c>
      <c r="B29" s="12" t="str">
        <f>VLOOKUP(A29,テーブル!$A$5:$F$9,2,0)</f>
        <v>Ｇ商品</v>
      </c>
      <c r="C29" s="4">
        <v>104</v>
      </c>
      <c r="D29" s="4" t="str">
        <f>VLOOKUP(C29,テーブル!$H$3:$K$6,2,0)</f>
        <v>大久保商事</v>
      </c>
      <c r="E29" s="21">
        <v>219</v>
      </c>
      <c r="F29" s="21">
        <v>198</v>
      </c>
      <c r="G29" s="26">
        <f>INDEX(テーブル!$D$5:$F$9,MATCH(A29,テーブル!$A$5:$A$9,0),MATCH(F29,テーブル!$D$4:$F$4,1))</f>
        <v>0.09</v>
      </c>
      <c r="H29" s="27">
        <f>ROUNDUP(VLOOKUP(A29,テーブル!$A$5:$F$9,3,0)*(1-G29),0)</f>
        <v>565</v>
      </c>
      <c r="I29" s="22">
        <f t="shared" si="1"/>
        <v>111870</v>
      </c>
      <c r="J29" s="22">
        <f>ROUNDUP(I29*VLOOKUP(C29,テーブル!$H$3:$K$6,3,0),0)</f>
        <v>14208</v>
      </c>
      <c r="K29" s="48">
        <f t="shared" si="0"/>
        <v>0.9</v>
      </c>
      <c r="L29" s="13"/>
    </row>
    <row r="30" spans="1:12">
      <c r="A30" s="3">
        <v>14</v>
      </c>
      <c r="B30" s="12" t="str">
        <f>VLOOKUP(A30,テーブル!$A$5:$F$9,2,0)</f>
        <v>Ｈ商品</v>
      </c>
      <c r="C30" s="4">
        <v>101</v>
      </c>
      <c r="D30" s="4" t="str">
        <f>VLOOKUP(C30,テーブル!$H$3:$K$6,2,0)</f>
        <v>朝日ストア</v>
      </c>
      <c r="E30" s="21">
        <v>524</v>
      </c>
      <c r="F30" s="21">
        <v>475</v>
      </c>
      <c r="G30" s="26">
        <f>INDEX(テーブル!$D$5:$F$9,MATCH(A30,テーブル!$A$5:$A$9,0),MATCH(F30,テーブル!$D$4:$F$4,1))</f>
        <v>0.13</v>
      </c>
      <c r="H30" s="27">
        <f>ROUNDUP(VLOOKUP(A30,テーブル!$A$5:$F$9,3,0)*(1-G30),0)</f>
        <v>688</v>
      </c>
      <c r="I30" s="22">
        <f t="shared" si="1"/>
        <v>326800</v>
      </c>
      <c r="J30" s="22">
        <f>ROUNDUP(I30*VLOOKUP(C30,テーブル!$H$3:$K$6,3,0),0)</f>
        <v>35295</v>
      </c>
      <c r="K30" s="48">
        <f t="shared" si="0"/>
        <v>0.9</v>
      </c>
      <c r="L30" s="13"/>
    </row>
    <row r="31" spans="1:12">
      <c r="A31" s="3">
        <v>14</v>
      </c>
      <c r="B31" s="12" t="str">
        <f>VLOOKUP(A31,テーブル!$A$5:$F$9,2,0)</f>
        <v>Ｈ商品</v>
      </c>
      <c r="C31" s="4">
        <v>102</v>
      </c>
      <c r="D31" s="4" t="str">
        <f>VLOOKUP(C31,テーブル!$H$3:$K$6,2,0)</f>
        <v>新栄百貨店</v>
      </c>
      <c r="E31" s="21">
        <v>389</v>
      </c>
      <c r="F31" s="21">
        <v>379</v>
      </c>
      <c r="G31" s="26">
        <f>INDEX(テーブル!$D$5:$F$9,MATCH(A31,テーブル!$A$5:$A$9,0),MATCH(F31,テーブル!$D$4:$F$4,1))</f>
        <v>0.12</v>
      </c>
      <c r="H31" s="27">
        <f>ROUNDUP(VLOOKUP(A31,テーブル!$A$5:$F$9,3,0)*(1-G31),0)</f>
        <v>696</v>
      </c>
      <c r="I31" s="22">
        <f t="shared" si="1"/>
        <v>263784</v>
      </c>
      <c r="J31" s="22">
        <f>ROUNDUP(I31*VLOOKUP(C31,テーブル!$H$3:$K$6,3,0),0)</f>
        <v>31391</v>
      </c>
      <c r="K31" s="48">
        <f t="shared" si="0"/>
        <v>0.97</v>
      </c>
      <c r="L31" s="13"/>
    </row>
    <row r="32" spans="1:12">
      <c r="A32" s="3">
        <v>14</v>
      </c>
      <c r="B32" s="12" t="str">
        <f>VLOOKUP(A32,テーブル!$A$5:$F$9,2,0)</f>
        <v>Ｈ商品</v>
      </c>
      <c r="C32" s="4">
        <v>103</v>
      </c>
      <c r="D32" s="4" t="str">
        <f>VLOOKUP(C32,テーブル!$H$3:$K$6,2,0)</f>
        <v>ひまわり堂</v>
      </c>
      <c r="E32" s="21">
        <v>245</v>
      </c>
      <c r="F32" s="21">
        <v>229</v>
      </c>
      <c r="G32" s="26">
        <f>INDEX(テーブル!$D$5:$F$9,MATCH(A32,テーブル!$A$5:$A$9,0),MATCH(F32,テーブル!$D$4:$F$4,1))</f>
        <v>0.11</v>
      </c>
      <c r="H32" s="27">
        <f>ROUNDUP(VLOOKUP(A32,テーブル!$A$5:$F$9,3,0)*(1-G32),0)</f>
        <v>704</v>
      </c>
      <c r="I32" s="22">
        <f t="shared" si="1"/>
        <v>161216</v>
      </c>
      <c r="J32" s="22">
        <f>ROUNDUP(I32*VLOOKUP(C32,テーブル!$H$3:$K$6,3,0),0)</f>
        <v>19991</v>
      </c>
      <c r="K32" s="48">
        <f t="shared" si="0"/>
        <v>0.93</v>
      </c>
      <c r="L32" s="13"/>
    </row>
    <row r="33" spans="1:12">
      <c r="A33" s="3">
        <v>14</v>
      </c>
      <c r="B33" s="12" t="str">
        <f>VLOOKUP(A33,テーブル!$A$5:$F$9,2,0)</f>
        <v>Ｈ商品</v>
      </c>
      <c r="C33" s="4">
        <v>104</v>
      </c>
      <c r="D33" s="4" t="str">
        <f>VLOOKUP(C33,テーブル!$H$3:$K$6,2,0)</f>
        <v>大久保商事</v>
      </c>
      <c r="E33" s="21">
        <v>483</v>
      </c>
      <c r="F33" s="21">
        <v>446</v>
      </c>
      <c r="G33" s="26">
        <f>INDEX(テーブル!$D$5:$F$9,MATCH(A33,テーブル!$A$5:$A$9,0),MATCH(F33,テーブル!$D$4:$F$4,1))</f>
        <v>0.12</v>
      </c>
      <c r="H33" s="27">
        <f>ROUNDUP(VLOOKUP(A33,テーブル!$A$5:$F$9,3,0)*(1-G33),0)</f>
        <v>696</v>
      </c>
      <c r="I33" s="22">
        <f t="shared" si="1"/>
        <v>310416</v>
      </c>
      <c r="J33" s="22">
        <f>ROUNDUP(I33*VLOOKUP(C33,テーブル!$H$3:$K$6,3,0),0)</f>
        <v>39423</v>
      </c>
      <c r="K33" s="48">
        <f t="shared" si="0"/>
        <v>0.92</v>
      </c>
      <c r="L33" s="13"/>
    </row>
    <row r="34" spans="1:12">
      <c r="A34" s="3">
        <v>15</v>
      </c>
      <c r="B34" s="12" t="str">
        <f>VLOOKUP(A34,テーブル!$A$5:$F$9,2,0)</f>
        <v>Ｉ商品</v>
      </c>
      <c r="C34" s="4">
        <v>101</v>
      </c>
      <c r="D34" s="4" t="str">
        <f>VLOOKUP(C34,テーブル!$H$3:$K$6,2,0)</f>
        <v>朝日ストア</v>
      </c>
      <c r="E34" s="38">
        <v>250</v>
      </c>
      <c r="F34" s="21">
        <v>223</v>
      </c>
      <c r="G34" s="26">
        <f>INDEX(テーブル!$D$5:$F$9,MATCH(A34,テーブル!$A$5:$A$9,0),MATCH(F34,テーブル!$D$4:$F$4,1))</f>
        <v>0.13</v>
      </c>
      <c r="H34" s="27">
        <f>ROUNDUP(VLOOKUP(A34,テーブル!$A$5:$F$9,3,0)*(1-G34),0)</f>
        <v>592</v>
      </c>
      <c r="I34" s="22">
        <f t="shared" ref="I34:I37" si="2">H34*F34</f>
        <v>132016</v>
      </c>
      <c r="J34" s="22">
        <f>ROUNDUP(I34*VLOOKUP(C34,テーブル!$H$3:$K$6,3,0),0)</f>
        <v>14258</v>
      </c>
      <c r="K34" s="48">
        <f t="shared" si="0"/>
        <v>0.89</v>
      </c>
    </row>
    <row r="35" spans="1:12">
      <c r="A35" s="3">
        <v>15</v>
      </c>
      <c r="B35" s="12" t="str">
        <f>VLOOKUP(A35,テーブル!$A$5:$F$9,2,0)</f>
        <v>Ｉ商品</v>
      </c>
      <c r="C35" s="4">
        <v>102</v>
      </c>
      <c r="D35" s="4" t="str">
        <f>VLOOKUP(C35,テーブル!$H$3:$K$6,2,0)</f>
        <v>新栄百貨店</v>
      </c>
      <c r="E35" s="38">
        <v>269</v>
      </c>
      <c r="F35" s="38">
        <v>243</v>
      </c>
      <c r="G35" s="26">
        <f>INDEX(テーブル!$D$5:$F$9,MATCH(A35,テーブル!$A$5:$A$9,0),MATCH(F35,テーブル!$D$4:$F$4,1))</f>
        <v>0.13</v>
      </c>
      <c r="H35" s="27">
        <f>ROUNDUP(VLOOKUP(A35,テーブル!$A$5:$F$9,3,0)*(1-G35),0)</f>
        <v>592</v>
      </c>
      <c r="I35" s="22">
        <f t="shared" si="2"/>
        <v>143856</v>
      </c>
      <c r="J35" s="22">
        <f>ROUNDUP(I35*VLOOKUP(C35,テーブル!$H$3:$K$6,3,0),0)</f>
        <v>17119</v>
      </c>
      <c r="K35" s="48">
        <f t="shared" si="0"/>
        <v>0.9</v>
      </c>
    </row>
    <row r="36" spans="1:12">
      <c r="A36" s="3">
        <v>15</v>
      </c>
      <c r="B36" s="12" t="str">
        <f>VLOOKUP(A36,テーブル!$A$5:$F$9,2,0)</f>
        <v>Ｉ商品</v>
      </c>
      <c r="C36" s="4">
        <v>103</v>
      </c>
      <c r="D36" s="4" t="str">
        <f>VLOOKUP(C36,テーブル!$H$3:$K$6,2,0)</f>
        <v>ひまわり堂</v>
      </c>
      <c r="E36" s="38">
        <v>476</v>
      </c>
      <c r="F36" s="38">
        <v>461</v>
      </c>
      <c r="G36" s="26">
        <f>INDEX(テーブル!$D$5:$F$9,MATCH(A36,テーブル!$A$5:$A$9,0),MATCH(F36,テーブル!$D$4:$F$4,1))</f>
        <v>0.15</v>
      </c>
      <c r="H36" s="27">
        <f>ROUNDUP(VLOOKUP(A36,テーブル!$A$5:$F$9,3,0)*(1-G36),0)</f>
        <v>578</v>
      </c>
      <c r="I36" s="22">
        <f t="shared" si="2"/>
        <v>266458</v>
      </c>
      <c r="J36" s="22">
        <f>ROUNDUP(I36*VLOOKUP(C36,テーブル!$H$3:$K$6,3,0),0)</f>
        <v>33041</v>
      </c>
      <c r="K36" s="48">
        <f t="shared" si="0"/>
        <v>0.96</v>
      </c>
    </row>
    <row r="37" spans="1:12">
      <c r="A37" s="3">
        <v>15</v>
      </c>
      <c r="B37" s="12" t="str">
        <f>VLOOKUP(A37,テーブル!$A$5:$F$9,2,0)</f>
        <v>Ｉ商品</v>
      </c>
      <c r="C37" s="4">
        <v>104</v>
      </c>
      <c r="D37" s="4" t="str">
        <f>VLOOKUP(C37,テーブル!$H$3:$K$6,2,0)</f>
        <v>大久保商事</v>
      </c>
      <c r="E37" s="38">
        <v>354</v>
      </c>
      <c r="F37" s="38">
        <v>336</v>
      </c>
      <c r="G37" s="26">
        <f>INDEX(テーブル!$D$5:$F$9,MATCH(A37,テーブル!$A$5:$A$9,0),MATCH(F37,テーブル!$D$4:$F$4,1))</f>
        <v>0.14000000000000001</v>
      </c>
      <c r="H37" s="27">
        <f>ROUNDUP(VLOOKUP(A37,テーブル!$A$5:$F$9,3,0)*(1-G37),0)</f>
        <v>585</v>
      </c>
      <c r="I37" s="22">
        <f t="shared" si="2"/>
        <v>196560</v>
      </c>
      <c r="J37" s="22">
        <f>ROUNDUP(I37*VLOOKUP(C37,テーブル!$H$3:$K$6,3,0),0)</f>
        <v>24964</v>
      </c>
      <c r="K37" s="48">
        <f t="shared" si="0"/>
        <v>0.94</v>
      </c>
    </row>
    <row r="38" spans="1:12">
      <c r="A38" s="3"/>
      <c r="B38" s="4"/>
      <c r="C38" s="4"/>
      <c r="D38" s="4"/>
      <c r="E38" s="4"/>
      <c r="F38" s="4"/>
      <c r="G38" s="4"/>
      <c r="H38" s="4"/>
      <c r="I38" s="4"/>
      <c r="J38" s="4"/>
      <c r="K38" s="6"/>
    </row>
    <row r="39" spans="1:12" ht="14.25" thickBot="1">
      <c r="A39" s="23"/>
      <c r="B39" s="24" t="s">
        <v>34</v>
      </c>
      <c r="C39" s="14"/>
      <c r="D39" s="14"/>
      <c r="E39" s="7">
        <f>SUM(E2:E37)</f>
        <v>14335</v>
      </c>
      <c r="F39" s="7">
        <f>SUM(F2:F37)</f>
        <v>13306</v>
      </c>
      <c r="G39" s="14"/>
      <c r="H39" s="14"/>
      <c r="I39" s="7">
        <f t="shared" ref="I39:J39" si="3">SUM(I2:I37)</f>
        <v>7965952</v>
      </c>
      <c r="J39" s="7">
        <f t="shared" si="3"/>
        <v>950426</v>
      </c>
      <c r="K39" s="37"/>
      <c r="L39" t="s">
        <v>46</v>
      </c>
    </row>
  </sheetData>
  <phoneticPr fontId="2"/>
  <printOptions headings="1"/>
  <pageMargins left="0.70866141732283472" right="0.70866141732283472" top="0.74803149606299213" bottom="0.74803149606299213" header="0.31496062992125984" footer="0.31496062992125984"/>
  <pageSetup paperSize="9" scale="46" orientation="landscape" r:id="rId1"/>
  <headerFooter>
    <oddHeader>&amp;C&amp;A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U32"/>
  <sheetViews>
    <sheetView workbookViewId="0">
      <selection sqref="A1:F1"/>
    </sheetView>
  </sheetViews>
  <sheetFormatPr defaultRowHeight="13.5"/>
  <cols>
    <col min="1" max="2" width="7.5" style="1" bestFit="1" customWidth="1"/>
    <col min="3" max="3" width="10.5" style="1" bestFit="1" customWidth="1"/>
    <col min="4" max="4" width="8.5" style="1" bestFit="1" customWidth="1"/>
    <col min="5" max="5" width="7.5" style="1" bestFit="1" customWidth="1"/>
    <col min="6" max="6" width="5.5" style="1" bestFit="1" customWidth="1"/>
    <col min="7" max="7" width="12.875" style="1" customWidth="1"/>
    <col min="8" max="8" width="7.5" style="1" customWidth="1"/>
    <col min="9" max="9" width="11.625" style="1" bestFit="1" customWidth="1"/>
    <col min="10" max="12" width="7.5" style="1" bestFit="1" customWidth="1"/>
    <col min="13" max="13" width="10.5" style="1" bestFit="1" customWidth="1"/>
    <col min="14" max="15" width="8.5" style="1" bestFit="1" customWidth="1"/>
    <col min="16" max="16" width="10.5" style="1" bestFit="1" customWidth="1"/>
    <col min="17" max="17" width="11.125" style="1" customWidth="1"/>
    <col min="18" max="18" width="51.625" style="1" bestFit="1" customWidth="1"/>
    <col min="19" max="19" width="10.5" style="1" bestFit="1" customWidth="1"/>
    <col min="20" max="20" width="7.5" style="1" bestFit="1" customWidth="1"/>
    <col min="21" max="16384" width="9" style="1"/>
  </cols>
  <sheetData>
    <row r="1" spans="1:20" ht="14.25" thickBot="1">
      <c r="A1" s="57" t="s">
        <v>42</v>
      </c>
      <c r="B1" s="57"/>
      <c r="C1" s="57"/>
      <c r="D1" s="57"/>
      <c r="E1" s="57"/>
      <c r="F1" s="57"/>
      <c r="H1" s="57" t="s">
        <v>38</v>
      </c>
      <c r="I1" s="57"/>
      <c r="J1" s="57"/>
      <c r="K1" s="57"/>
      <c r="L1" s="57"/>
      <c r="M1" s="57"/>
      <c r="N1" s="57"/>
      <c r="O1" s="57"/>
      <c r="P1" s="57"/>
    </row>
    <row r="2" spans="1:20">
      <c r="A2" s="8" t="s">
        <v>8</v>
      </c>
      <c r="B2" s="20" t="s">
        <v>3</v>
      </c>
      <c r="C2" s="20" t="s">
        <v>4</v>
      </c>
      <c r="D2" s="20" t="s">
        <v>5</v>
      </c>
      <c r="E2" s="20" t="s">
        <v>24</v>
      </c>
      <c r="F2" s="9" t="s">
        <v>25</v>
      </c>
      <c r="H2" s="30" t="s">
        <v>12</v>
      </c>
      <c r="I2" s="31" t="s">
        <v>1</v>
      </c>
      <c r="J2" s="31" t="s">
        <v>2</v>
      </c>
      <c r="K2" s="31" t="s">
        <v>3</v>
      </c>
      <c r="L2" s="20" t="s">
        <v>13</v>
      </c>
      <c r="M2" s="31" t="s">
        <v>4</v>
      </c>
      <c r="N2" s="31" t="s">
        <v>5</v>
      </c>
      <c r="O2" s="31" t="s">
        <v>35</v>
      </c>
      <c r="P2" s="9" t="s">
        <v>26</v>
      </c>
      <c r="R2" s="39" t="s">
        <v>41</v>
      </c>
      <c r="S2" s="40">
        <f>DSUM(データ表!$A$1:$K$37,9,S5:T6)</f>
        <v>1680993</v>
      </c>
    </row>
    <row r="3" spans="1:20" ht="14.25" thickBot="1">
      <c r="A3" s="19" t="s">
        <v>18</v>
      </c>
      <c r="B3" s="5">
        <f>DSUM(データ表!$A$1:$K$37,B$2,$A$11:$A$12)</f>
        <v>2524</v>
      </c>
      <c r="C3" s="5">
        <f>DSUM(データ表!$A$1:$K$37,C$2,$A$11:$A$12)</f>
        <v>1275572</v>
      </c>
      <c r="D3" s="5">
        <f>DSUM(データ表!$A$1:$K$37,D$2,$A$11:$A$12)</f>
        <v>155333</v>
      </c>
      <c r="E3" s="22">
        <f>SUMIF(データ表!$B$2:$B$37,$A3,データ表!$E$2:$E$37)-B3</f>
        <v>193</v>
      </c>
      <c r="F3" s="28" t="str">
        <f>IF(AND(E3&gt;=190,C3&gt;=AVERAGE($C$3:$C$7)),"Ａ","")</f>
        <v/>
      </c>
      <c r="G3" s="10"/>
      <c r="H3" s="3">
        <v>103</v>
      </c>
      <c r="I3" s="4" t="str">
        <f>VLOOKUP(H3,テーブル!$H$3:$K$6,2,0)</f>
        <v>ひまわり堂</v>
      </c>
      <c r="J3" s="5">
        <f>DSUM(データ表!$A$1:$K$37,J$2,$J$10:$J$11)</f>
        <v>3689</v>
      </c>
      <c r="K3" s="5">
        <f>DSUM(データ表!$A$1:$K$37,K$2,$J$10:$J$11)</f>
        <v>3444</v>
      </c>
      <c r="L3" s="47">
        <f>ROUNDUP(K3/VLOOKUP(H3,テーブル!$H$3:$K$6,4,0),3)</f>
        <v>0.92600000000000005</v>
      </c>
      <c r="M3" s="5">
        <f>DSUM(データ表!$A$1:$K$37,M$2,$J$10:$J$11)</f>
        <v>2034331</v>
      </c>
      <c r="N3" s="5">
        <f>DSUM(データ表!$A$1:$K$37,N$2,$J$10:$J$11)</f>
        <v>252260</v>
      </c>
      <c r="O3" s="5">
        <f>ROUNDDOWN(IF(OR(K3&gt;3400,L3&gt;100%),N3*12.5%,N3*11.5%),-1)</f>
        <v>31530</v>
      </c>
      <c r="P3" s="33">
        <f>N3+O3</f>
        <v>283790</v>
      </c>
      <c r="R3" s="41" t="s">
        <v>45</v>
      </c>
      <c r="S3" s="35">
        <f>DCOUNTA(データ表!$A$1:$K$37,2,S7:T8)</f>
        <v>11</v>
      </c>
      <c r="T3" t="s">
        <v>48</v>
      </c>
    </row>
    <row r="4" spans="1:20" ht="14.25" thickBot="1">
      <c r="A4" s="19" t="s">
        <v>19</v>
      </c>
      <c r="B4" s="5">
        <f>DSUM(データ表!$A$1:$K$37,B$2,$B$11:$B$12)</f>
        <v>2466</v>
      </c>
      <c r="C4" s="5">
        <f>DSUM(データ表!$A$1:$K$37,C$2,$B$11:$B$12)</f>
        <v>1632196</v>
      </c>
      <c r="D4" s="5">
        <f>DSUM(データ表!$A$1:$K$37,D$2,$B$11:$B$12)</f>
        <v>194950</v>
      </c>
      <c r="E4" s="22">
        <f>SUMIF(データ表!$B$2:$B$37,$A4,データ表!$E$2:$E$37)-B4</f>
        <v>157</v>
      </c>
      <c r="F4" s="28" t="str">
        <f t="shared" ref="F4:F7" si="0">IF(AND(E4&gt;=190,C4&gt;=AVERAGE($C$3:$C$7)),"Ａ","")</f>
        <v/>
      </c>
      <c r="G4" s="16"/>
      <c r="H4" s="3">
        <v>104</v>
      </c>
      <c r="I4" s="4" t="str">
        <f>VLOOKUP(H4,テーブル!$H$3:$K$6,2,0)</f>
        <v>大久保商事</v>
      </c>
      <c r="J4" s="5">
        <f>DSUM(データ表!$A$1:$K$37,J$2,$K$10:$K$11)</f>
        <v>3463</v>
      </c>
      <c r="K4" s="5">
        <f>DSUM(データ表!$A$1:$K$37,K$2,$K$10:$K$11)</f>
        <v>3189</v>
      </c>
      <c r="L4" s="47">
        <f>ROUNDUP(K4/VLOOKUP(H4,テーブル!$H$3:$K$6,4,0),3)</f>
        <v>1</v>
      </c>
      <c r="M4" s="5">
        <f>DSUM(データ表!$A$1:$K$37,M$2,$K$10:$K$11)</f>
        <v>1896564</v>
      </c>
      <c r="N4" s="5">
        <f>DSUM(データ表!$A$1:$K$37,N$2,$K$10:$K$11)</f>
        <v>240867</v>
      </c>
      <c r="O4" s="5">
        <f>ROUNDDOWN(IF(OR(K4&gt;3400,L4&gt;100%),N4*12.5%,N4*11.5%),-1)</f>
        <v>27690</v>
      </c>
      <c r="P4" s="33">
        <f>N4+O4</f>
        <v>268557</v>
      </c>
    </row>
    <row r="5" spans="1:20">
      <c r="A5" s="19" t="s">
        <v>20</v>
      </c>
      <c r="B5" s="5">
        <f>DSUM(データ表!$A$1:$K$37,B$2,$C$11:$C$12)</f>
        <v>2983</v>
      </c>
      <c r="C5" s="5">
        <f>DSUM(データ表!$A$1:$K$37,C$2,$C$11:$C$12)</f>
        <v>1658799</v>
      </c>
      <c r="D5" s="5">
        <f>DSUM(データ表!$A$1:$K$37,D$2,$C$11:$C$12)</f>
        <v>198497</v>
      </c>
      <c r="E5" s="22">
        <f>SUMIF(データ表!$B$2:$B$37,$A5,データ表!$E$2:$E$37)-B5</f>
        <v>276</v>
      </c>
      <c r="F5" s="28" t="str">
        <f t="shared" si="0"/>
        <v>Ａ</v>
      </c>
      <c r="G5" s="16"/>
      <c r="H5" s="3">
        <v>102</v>
      </c>
      <c r="I5" s="4" t="str">
        <f>VLOOKUP(H5,テーブル!$H$3:$K$6,2,0)</f>
        <v>新栄百貨店</v>
      </c>
      <c r="J5" s="5">
        <f>DSUM(データ表!$A$1:$K$37,J$2,$I$10:$I$11)</f>
        <v>3520</v>
      </c>
      <c r="K5" s="5">
        <f>DSUM(データ表!$A$1:$K$37,K$2,$I$10:$I$11)</f>
        <v>3313</v>
      </c>
      <c r="L5" s="47">
        <f>ROUNDUP(K5/VLOOKUP(H5,テーブル!$H$3:$K$6,4,0),3)</f>
        <v>0.94199999999999995</v>
      </c>
      <c r="M5" s="5">
        <f>DSUM(データ表!$A$1:$K$37,M$2,$I$10:$I$11)</f>
        <v>1954880</v>
      </c>
      <c r="N5" s="5">
        <f>DSUM(データ表!$A$1:$K$37,N$2,$I$10:$I$11)</f>
        <v>232634</v>
      </c>
      <c r="O5" s="5">
        <f>ROUNDDOWN(IF(OR(K5&gt;3400,L5&gt;100%),N5*12.5%,N5*11.5%),-1)</f>
        <v>26750</v>
      </c>
      <c r="P5" s="33">
        <f>N5+O5</f>
        <v>259384</v>
      </c>
      <c r="S5" s="30" t="s">
        <v>32</v>
      </c>
      <c r="T5" s="42" t="s">
        <v>36</v>
      </c>
    </row>
    <row r="6" spans="1:20" ht="14.25" thickBot="1">
      <c r="A6" s="19" t="s">
        <v>21</v>
      </c>
      <c r="B6" s="5">
        <f>DSUM(データ表!$A$1:$K$37,B$2,$D$11:$D$12)</f>
        <v>2625</v>
      </c>
      <c r="C6" s="5">
        <f>DSUM(データ表!$A$1:$K$37,C$2,$D$11:$D$12)</f>
        <v>1822520</v>
      </c>
      <c r="D6" s="5">
        <f>DSUM(データ表!$A$1:$K$37,D$2,$D$11:$D$12)</f>
        <v>214090</v>
      </c>
      <c r="E6" s="22">
        <f>SUMIF(データ表!$B$2:$B$37,$A6,データ表!$E$2:$E$37)-B6</f>
        <v>211</v>
      </c>
      <c r="F6" s="28" t="str">
        <f t="shared" si="0"/>
        <v>Ａ</v>
      </c>
      <c r="G6" s="16"/>
      <c r="H6" s="3">
        <v>101</v>
      </c>
      <c r="I6" s="4" t="str">
        <f>VLOOKUP(H6,テーブル!$H$3:$K$6,2,0)</f>
        <v>朝日ストア</v>
      </c>
      <c r="J6" s="5">
        <f>DSUM(データ表!$A$1:$K$37,J$2,$H$10:$H$11)</f>
        <v>3663</v>
      </c>
      <c r="K6" s="5">
        <f>DSUM(データ表!$A$1:$K$37,K$2,$H$10:$H$11)</f>
        <v>3360</v>
      </c>
      <c r="L6" s="47">
        <f>ROUNDUP(K6/VLOOKUP(H6,テーブル!$H$3:$K$6,4,0),3)</f>
        <v>1.0099999999999998</v>
      </c>
      <c r="M6" s="5">
        <f>DSUM(データ表!$A$1:$K$37,M$2,$H$10:$H$11)</f>
        <v>2080177</v>
      </c>
      <c r="N6" s="5">
        <f>DSUM(データ表!$A$1:$K$37,N$2,$H$10:$H$11)</f>
        <v>224665</v>
      </c>
      <c r="O6" s="5">
        <f>ROUNDDOWN(IF(OR(K6&gt;3400,L6&gt;100%),N6*12.5%,N6*11.5%),-1)</f>
        <v>28080</v>
      </c>
      <c r="P6" s="33">
        <f>N6+O6</f>
        <v>252745</v>
      </c>
      <c r="S6" s="44" t="s">
        <v>37</v>
      </c>
      <c r="T6" s="45" t="s">
        <v>40</v>
      </c>
    </row>
    <row r="7" spans="1:20">
      <c r="A7" s="19" t="s">
        <v>22</v>
      </c>
      <c r="B7" s="5">
        <f>DSUM(データ表!$A$1:$K$37,B$2,$E$11:$E$12)</f>
        <v>2708</v>
      </c>
      <c r="C7" s="5">
        <f>DSUM(データ表!$A$1:$K$37,C$2,$E$11:$E$12)</f>
        <v>1576865</v>
      </c>
      <c r="D7" s="5">
        <f>DSUM(データ表!$A$1:$K$37,D$2,$E$11:$E$12)</f>
        <v>187556</v>
      </c>
      <c r="E7" s="22">
        <f>SUMIF(データ表!$B$2:$B$37,$A7,データ表!$E$2:$E$37)-B7</f>
        <v>192</v>
      </c>
      <c r="F7" s="28" t="str">
        <f t="shared" si="0"/>
        <v/>
      </c>
      <c r="H7" s="3"/>
      <c r="I7" s="4"/>
      <c r="J7" s="4"/>
      <c r="K7" s="4"/>
      <c r="L7" s="4"/>
      <c r="M7" s="4"/>
      <c r="N7" s="4"/>
      <c r="O7" s="4"/>
      <c r="P7" s="6"/>
      <c r="S7" s="8" t="s">
        <v>8</v>
      </c>
      <c r="T7" s="42" t="s">
        <v>33</v>
      </c>
    </row>
    <row r="8" spans="1:20" ht="14.25" thickBot="1">
      <c r="A8" s="19"/>
      <c r="B8" s="5"/>
      <c r="C8" s="22"/>
      <c r="D8" s="22"/>
      <c r="E8" s="22"/>
      <c r="F8" s="34"/>
      <c r="H8" s="23"/>
      <c r="I8" s="24" t="s">
        <v>31</v>
      </c>
      <c r="J8" s="7">
        <f>SUM(J3:J6)</f>
        <v>14335</v>
      </c>
      <c r="K8" s="7">
        <f>SUM(K3:K6)</f>
        <v>13306</v>
      </c>
      <c r="L8" s="14"/>
      <c r="M8" s="7">
        <f>SUM(M3:M6)</f>
        <v>7965952</v>
      </c>
      <c r="N8" s="7">
        <f>SUM(N3:N6)</f>
        <v>950426</v>
      </c>
      <c r="O8" s="7">
        <f t="shared" ref="O8:P8" si="1">SUM(O3:O6)</f>
        <v>114050</v>
      </c>
      <c r="P8" s="32">
        <f t="shared" si="1"/>
        <v>1064476</v>
      </c>
      <c r="Q8" t="s">
        <v>46</v>
      </c>
      <c r="S8" s="41" t="s">
        <v>43</v>
      </c>
      <c r="T8" s="43" t="s">
        <v>44</v>
      </c>
    </row>
    <row r="9" spans="1:20" ht="14.25" thickBot="1">
      <c r="A9" s="46" t="s">
        <v>39</v>
      </c>
      <c r="B9" s="36">
        <f>SUM(B3:B7)</f>
        <v>13306</v>
      </c>
      <c r="C9" s="36">
        <f t="shared" ref="C9:E9" si="2">SUM(C3:C7)</f>
        <v>7965952</v>
      </c>
      <c r="D9" s="36">
        <f t="shared" si="2"/>
        <v>950426</v>
      </c>
      <c r="E9" s="36">
        <f t="shared" si="2"/>
        <v>1029</v>
      </c>
      <c r="F9" s="37"/>
      <c r="G9" t="s">
        <v>46</v>
      </c>
    </row>
    <row r="10" spans="1:20" ht="14.25" thickBot="1">
      <c r="A10" s="10"/>
      <c r="B10" s="10"/>
      <c r="C10" s="10"/>
      <c r="D10" s="10"/>
      <c r="E10" s="10"/>
      <c r="F10" s="10"/>
      <c r="H10" s="51" t="s">
        <v>12</v>
      </c>
      <c r="I10" s="52" t="s">
        <v>12</v>
      </c>
      <c r="J10" s="52" t="s">
        <v>12</v>
      </c>
      <c r="K10" s="52" t="s">
        <v>12</v>
      </c>
    </row>
    <row r="11" spans="1:20" ht="14.25" thickBot="1">
      <c r="A11" s="8" t="s">
        <v>8</v>
      </c>
      <c r="B11" s="8" t="s">
        <v>8</v>
      </c>
      <c r="C11" s="8" t="s">
        <v>8</v>
      </c>
      <c r="D11" s="8" t="s">
        <v>8</v>
      </c>
      <c r="E11" s="49" t="s">
        <v>8</v>
      </c>
      <c r="H11" s="54">
        <v>101</v>
      </c>
      <c r="I11" s="53">
        <v>102</v>
      </c>
      <c r="J11" s="53">
        <v>103</v>
      </c>
      <c r="K11" s="53">
        <v>104</v>
      </c>
    </row>
    <row r="12" spans="1:20" ht="14.25" thickBot="1">
      <c r="A12" s="41" t="s">
        <v>18</v>
      </c>
      <c r="B12" s="41" t="s">
        <v>19</v>
      </c>
      <c r="C12" s="41" t="s">
        <v>20</v>
      </c>
      <c r="D12" s="41" t="s">
        <v>21</v>
      </c>
      <c r="E12" s="50" t="s">
        <v>22</v>
      </c>
    </row>
    <row r="32" spans="21:21">
      <c r="U32" t="s">
        <v>47</v>
      </c>
    </row>
  </sheetData>
  <sortState xmlns:xlrd2="http://schemas.microsoft.com/office/spreadsheetml/2017/richdata2" ref="H3:P6">
    <sortCondition descending="1" ref="P3:P6"/>
  </sortState>
  <mergeCells count="2">
    <mergeCell ref="H1:P1"/>
    <mergeCell ref="A1:F1"/>
  </mergeCells>
  <phoneticPr fontId="2"/>
  <printOptions headings="1"/>
  <pageMargins left="0.70866141732283472" right="0.70866141732283472" top="0.74803149606299213" bottom="0.74803149606299213" header="0.31496062992125984" footer="0.31496062992125984"/>
  <pageSetup paperSize="9" scale="86" orientation="landscape" r:id="rId1"/>
  <headerFooter>
    <oddHeader>&amp;C&amp;A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テーブル</vt:lpstr>
      <vt:lpstr>データ表</vt:lpstr>
      <vt:lpstr>計算表</vt:lpstr>
    </vt:vector>
  </TitlesOfParts>
  <Company>日本情報処理検定協会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日本情報処理検定協会</dc:creator>
  <cp:lastModifiedBy>日本情報処理検定協会(M.N)</cp:lastModifiedBy>
  <cp:lastPrinted>2019-01-16T21:02:38Z</cp:lastPrinted>
  <dcterms:created xsi:type="dcterms:W3CDTF">2012-06-19T05:36:06Z</dcterms:created>
  <dcterms:modified xsi:type="dcterms:W3CDTF">2023-03-29T05:03:24Z</dcterms:modified>
</cp:coreProperties>
</file>