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01\共有フォルダー\検定関連\00_問題\01_検定問題\2022(令和04)年度\令和04年10月\1表計算\"/>
    </mc:Choice>
  </mc:AlternateContent>
  <xr:revisionPtr revIDLastSave="0" documentId="13_ncr:1_{56ABB653-8F51-4E61-AE7D-3015DA4B75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テーブル" sheetId="1" r:id="rId1"/>
    <sheet name="データ表" sheetId="5" r:id="rId2"/>
    <sheet name="計算表" sheetId="6" r:id="rId3"/>
  </sheets>
  <definedNames>
    <definedName name="_xlnm._FilterDatabase" localSheetId="1" hidden="1">データ表!$A$1:$J$33</definedName>
    <definedName name="データ表" localSheetId="1">データ表!$A$2:$H$65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" i="6" l="1"/>
  <c r="P3" i="6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2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2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2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2" i="5"/>
  <c r="I4" i="6" l="1"/>
  <c r="J4" i="6"/>
  <c r="K4" i="6"/>
  <c r="L4" i="6"/>
  <c r="I5" i="6"/>
  <c r="J5" i="6"/>
  <c r="K5" i="6"/>
  <c r="L5" i="6"/>
  <c r="I6" i="6"/>
  <c r="J6" i="6"/>
  <c r="K6" i="6"/>
  <c r="L6" i="6"/>
  <c r="I7" i="6"/>
  <c r="J7" i="6"/>
  <c r="K7" i="6"/>
  <c r="L7" i="6"/>
  <c r="I8" i="6"/>
  <c r="J8" i="6"/>
  <c r="K8" i="6"/>
  <c r="L8" i="6"/>
  <c r="I9" i="6"/>
  <c r="J9" i="6"/>
  <c r="K9" i="6"/>
  <c r="L9" i="6"/>
  <c r="I10" i="6"/>
  <c r="J10" i="6"/>
  <c r="K10" i="6"/>
  <c r="L10" i="6"/>
  <c r="L3" i="6"/>
  <c r="K3" i="6"/>
  <c r="J3" i="6"/>
  <c r="I3" i="6"/>
  <c r="B4" i="6"/>
  <c r="B6" i="6"/>
  <c r="B5" i="6"/>
  <c r="B3" i="6"/>
  <c r="E67" i="5"/>
  <c r="J65" i="5"/>
  <c r="J64" i="5"/>
  <c r="J63" i="5"/>
  <c r="J62" i="5"/>
  <c r="J61" i="5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M10" i="6" s="1"/>
  <c r="J20" i="5"/>
  <c r="J19" i="5"/>
  <c r="J18" i="5"/>
  <c r="M7" i="6" s="1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M5" i="6" s="1"/>
  <c r="J3" i="5"/>
  <c r="M4" i="6" s="1"/>
  <c r="I67" i="5"/>
  <c r="G67" i="5"/>
  <c r="F67" i="5"/>
  <c r="M8" i="6" l="1"/>
  <c r="C4" i="6"/>
  <c r="M6" i="6"/>
  <c r="C6" i="6"/>
  <c r="D6" i="6" s="1"/>
  <c r="C3" i="6"/>
  <c r="D3" i="6" s="1"/>
  <c r="M9" i="6"/>
  <c r="D4" i="6"/>
  <c r="J2" i="5"/>
  <c r="J67" i="5" l="1"/>
  <c r="C5" i="6"/>
  <c r="D5" i="6" s="1"/>
  <c r="P8" i="6"/>
  <c r="M3" i="6"/>
  <c r="E6" i="6" l="1"/>
  <c r="E3" i="6"/>
  <c r="B8" i="6"/>
  <c r="C8" i="6" l="1"/>
  <c r="E5" i="6"/>
  <c r="D8" i="6" l="1"/>
  <c r="E4" i="6" l="1"/>
  <c r="F5" i="6" s="1"/>
  <c r="F4" i="6" l="1"/>
  <c r="F6" i="6"/>
  <c r="F3" i="6"/>
  <c r="E8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BC9724A-8961-485A-A733-98C54F426C6A}" name="データ表" type="6" refreshedVersion="7" background="1" saveData="1">
    <textPr codePage="932" sourceFile="\\svr01\問題制作フォルダー\01_検定問題\1表計算\2022(令和04)年度\02_10月検定\SPS\データ表.csv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<sst xmlns="http://schemas.openxmlformats.org/spreadsheetml/2006/main" count="139" uniqueCount="48">
  <si>
    <t>商ＣＯ</t>
  </si>
  <si>
    <t>商品名</t>
  </si>
  <si>
    <t>＜商品テーブル＞</t>
  </si>
  <si>
    <t>合　計</t>
  </si>
  <si>
    <t>割引額</t>
  </si>
  <si>
    <t>請求額</t>
  </si>
  <si>
    <t>A</t>
  </si>
  <si>
    <t>B</t>
  </si>
  <si>
    <t>C</t>
  </si>
  <si>
    <t>商品別集計表</t>
  </si>
  <si>
    <t>日数</t>
  </si>
  <si>
    <t>ＯＰ</t>
  </si>
  <si>
    <t>ＯＰ料金</t>
  </si>
  <si>
    <t>料金合計</t>
  </si>
  <si>
    <t>判定</t>
  </si>
  <si>
    <t>１日料金</t>
  </si>
  <si>
    <t>料金合計</t>
    <phoneticPr fontId="1"/>
  </si>
  <si>
    <t>合　計</t>
    <phoneticPr fontId="1"/>
  </si>
  <si>
    <t>ＯＰ単価</t>
    <rPh sb="2" eb="4">
      <t>タンカ</t>
    </rPh>
    <phoneticPr fontId="1"/>
  </si>
  <si>
    <t>ＯＰ</t>
    <phoneticPr fontId="1"/>
  </si>
  <si>
    <t>基本料金</t>
    <rPh sb="0" eb="2">
      <t>キホン</t>
    </rPh>
    <rPh sb="2" eb="4">
      <t>リョウキン</t>
    </rPh>
    <phoneticPr fontId="1"/>
  </si>
  <si>
    <t>追加料金</t>
    <rPh sb="0" eb="2">
      <t>ツイカ</t>
    </rPh>
    <phoneticPr fontId="1"/>
  </si>
  <si>
    <t>基本料金</t>
    <rPh sb="0" eb="2">
      <t>キホン</t>
    </rPh>
    <phoneticPr fontId="1"/>
  </si>
  <si>
    <t>追加料金</t>
    <rPh sb="0" eb="2">
      <t>ツイカ</t>
    </rPh>
    <rPh sb="2" eb="4">
      <t>リョウキン</t>
    </rPh>
    <phoneticPr fontId="1"/>
  </si>
  <si>
    <t>＜貸出先テーブル＞</t>
    <rPh sb="1" eb="3">
      <t>カシダシ</t>
    </rPh>
    <phoneticPr fontId="1"/>
  </si>
  <si>
    <t>貸ＣＯ</t>
    <rPh sb="0" eb="1">
      <t>カシ</t>
    </rPh>
    <phoneticPr fontId="1"/>
  </si>
  <si>
    <t>貸出先名</t>
    <rPh sb="0" eb="2">
      <t>カシダシ</t>
    </rPh>
    <phoneticPr fontId="1"/>
  </si>
  <si>
    <t>井上企画</t>
    <rPh sb="0" eb="2">
      <t>イノウエ</t>
    </rPh>
    <rPh sb="2" eb="4">
      <t>キカク</t>
    </rPh>
    <phoneticPr fontId="1"/>
  </si>
  <si>
    <t>北陸商事</t>
    <rPh sb="0" eb="2">
      <t>ホクリク</t>
    </rPh>
    <rPh sb="2" eb="4">
      <t>ショウジ</t>
    </rPh>
    <phoneticPr fontId="1"/>
  </si>
  <si>
    <t>鈴木総業</t>
    <rPh sb="0" eb="2">
      <t>スズキ</t>
    </rPh>
    <rPh sb="2" eb="4">
      <t>ソウギョウ</t>
    </rPh>
    <phoneticPr fontId="1"/>
  </si>
  <si>
    <t>ＮＹ物産</t>
    <rPh sb="2" eb="4">
      <t>ブッサン</t>
    </rPh>
    <phoneticPr fontId="1"/>
  </si>
  <si>
    <t>Ｐ商品</t>
    <rPh sb="1" eb="3">
      <t>ショウヒン</t>
    </rPh>
    <phoneticPr fontId="1"/>
  </si>
  <si>
    <t>Ｑ商品</t>
    <rPh sb="1" eb="3">
      <t>ショウヒン</t>
    </rPh>
    <phoneticPr fontId="1"/>
  </si>
  <si>
    <t>Ｒ商品</t>
    <rPh sb="1" eb="3">
      <t>ショウヒン</t>
    </rPh>
    <phoneticPr fontId="1"/>
  </si>
  <si>
    <t>Ｓ商品</t>
    <rPh sb="1" eb="3">
      <t>ショウヒン</t>
    </rPh>
    <phoneticPr fontId="1"/>
  </si>
  <si>
    <t>Ｔ商品</t>
    <rPh sb="1" eb="3">
      <t>ショウヒン</t>
    </rPh>
    <phoneticPr fontId="1"/>
  </si>
  <si>
    <t>Ｕ商品</t>
    <rPh sb="1" eb="3">
      <t>ショウヒン</t>
    </rPh>
    <phoneticPr fontId="1"/>
  </si>
  <si>
    <t>Ｖ商品</t>
    <rPh sb="1" eb="3">
      <t>ショウヒン</t>
    </rPh>
    <phoneticPr fontId="1"/>
  </si>
  <si>
    <t>Ｗ商品</t>
    <rPh sb="1" eb="3">
      <t>ショウヒン</t>
    </rPh>
    <phoneticPr fontId="1"/>
  </si>
  <si>
    <t>&gt;7300</t>
    <phoneticPr fontId="1"/>
  </si>
  <si>
    <t>貸出先別計算表</t>
    <rPh sb="0" eb="2">
      <t>カシダシ</t>
    </rPh>
    <phoneticPr fontId="1"/>
  </si>
  <si>
    <t>料金合計が最大の商品名</t>
    <rPh sb="0" eb="2">
      <t>リョウキン</t>
    </rPh>
    <rPh sb="2" eb="4">
      <t>ゴウケイ</t>
    </rPh>
    <rPh sb="5" eb="7">
      <t>サイダイ</t>
    </rPh>
    <rPh sb="8" eb="11">
      <t>ショウヒンメイ</t>
    </rPh>
    <phoneticPr fontId="1"/>
  </si>
  <si>
    <t>料金合計</t>
    <rPh sb="0" eb="2">
      <t>リョウキン</t>
    </rPh>
    <rPh sb="2" eb="4">
      <t>ゴウケイ</t>
    </rPh>
    <phoneticPr fontId="1"/>
  </si>
  <si>
    <t>井上企画以外で追加料金が7,300円より多い件数</t>
    <rPh sb="0" eb="2">
      <t>イノウエ</t>
    </rPh>
    <rPh sb="2" eb="4">
      <t>キカク</t>
    </rPh>
    <rPh sb="7" eb="9">
      <t>ツイカ</t>
    </rPh>
    <rPh sb="9" eb="11">
      <t>リョウキン</t>
    </rPh>
    <phoneticPr fontId="1"/>
  </si>
  <si>
    <t>&lt;&gt;井上企画</t>
    <rPh sb="2" eb="4">
      <t>イノウエ</t>
    </rPh>
    <rPh sb="4" eb="6">
      <t>キカク</t>
    </rPh>
    <phoneticPr fontId="1"/>
  </si>
  <si>
    <t>貸出先名</t>
    <rPh sb="0" eb="3">
      <t>カシダシサキ</t>
    </rPh>
    <rPh sb="3" eb="4">
      <t>メイ</t>
    </rPh>
    <phoneticPr fontId="1"/>
  </si>
  <si>
    <t>【100点】</t>
    <rPh sb="4" eb="5">
      <t>テン</t>
    </rPh>
    <phoneticPr fontId="1"/>
  </si>
  <si>
    <t>グラフ【10点】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</si>
</sst>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11"/>
      <color rgb="FFFF0000"/>
      <name val="ＭＳ 明朝"/>
      <family val="2"/>
      <charset val="128"/>
    </font>
    <font>
      <sz val="11"/>
      <name val="ＭＳ 明朝"/>
      <family val="1"/>
      <charset val="128"/>
    </font>
    <font>
      <sz val="11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3" fontId="0" fillId="0" borderId="8" xfId="0" applyNumberForma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2" xfId="0" applyBorder="1">
      <alignment vertical="center"/>
    </xf>
    <xf numFmtId="3" fontId="0" fillId="0" borderId="4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38" fontId="0" fillId="0" borderId="1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3" fontId="0" fillId="0" borderId="0" xfId="0" applyNumberFormat="1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38" fontId="0" fillId="0" borderId="8" xfId="1" applyFont="1" applyFill="1" applyBorder="1">
      <alignment vertical="center"/>
    </xf>
    <xf numFmtId="38" fontId="0" fillId="0" borderId="9" xfId="1" applyFont="1" applyFill="1" applyBorder="1">
      <alignment vertical="center"/>
    </xf>
    <xf numFmtId="0" fontId="4" fillId="0" borderId="5" xfId="0" applyFont="1" applyBorder="1">
      <alignment vertical="center"/>
    </xf>
    <xf numFmtId="0" fontId="0" fillId="0" borderId="10" xfId="0" applyBorder="1" applyAlignment="1">
      <alignment horizontal="center" vertical="center"/>
    </xf>
    <xf numFmtId="3" fontId="0" fillId="0" borderId="0" xfId="0" applyNumberFormat="1" applyBorder="1">
      <alignment vertical="center"/>
    </xf>
    <xf numFmtId="4" fontId="0" fillId="0" borderId="0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0" xfId="0" applyNumberFormat="1">
      <alignment vertical="center"/>
    </xf>
    <xf numFmtId="3" fontId="5" fillId="0" borderId="1" xfId="0" applyNumberFormat="1" applyFont="1" applyBorder="1">
      <alignment vertical="center"/>
    </xf>
    <xf numFmtId="0" fontId="5" fillId="0" borderId="1" xfId="0" applyFont="1" applyBorder="1">
      <alignment vertical="center"/>
    </xf>
    <xf numFmtId="3" fontId="0" fillId="0" borderId="9" xfId="0" applyNumberFormat="1" applyBorder="1">
      <alignment vertical="center"/>
    </xf>
    <xf numFmtId="0" fontId="0" fillId="0" borderId="13" xfId="0" applyBorder="1" applyAlignment="1">
      <alignment horizontal="center" vertical="center"/>
    </xf>
    <xf numFmtId="3" fontId="0" fillId="0" borderId="12" xfId="0" applyNumberFormat="1" applyBorder="1">
      <alignment vertical="center"/>
    </xf>
    <xf numFmtId="3" fontId="0" fillId="0" borderId="6" xfId="0" applyNumberFormat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B3B3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>
                <a:latin typeface="ＭＳ 明朝" pitchFamily="17" charset="-128"/>
                <a:ea typeface="ＭＳ 明朝" pitchFamily="17" charset="-128"/>
              </a:defRPr>
            </a:pPr>
            <a:r>
              <a:rPr lang="ja-JP" altLang="en-US"/>
              <a:t>貸出先別請求額の構成比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計算表!$E$2</c:f>
              <c:strCache>
                <c:ptCount val="1"/>
                <c:pt idx="0">
                  <c:v>請求額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計算表!$A$3:$A$6</c:f>
              <c:strCache>
                <c:ptCount val="4"/>
                <c:pt idx="0">
                  <c:v>井上企画</c:v>
                </c:pt>
                <c:pt idx="1">
                  <c:v>ＮＹ物産</c:v>
                </c:pt>
                <c:pt idx="2">
                  <c:v>鈴木総業</c:v>
                </c:pt>
                <c:pt idx="3">
                  <c:v>北陸商事</c:v>
                </c:pt>
              </c:strCache>
            </c:strRef>
          </c:cat>
          <c:val>
            <c:numRef>
              <c:f>計算表!$E$3:$E$6</c:f>
              <c:numCache>
                <c:formatCode>#,##0</c:formatCode>
                <c:ptCount val="4"/>
                <c:pt idx="0">
                  <c:v>906010</c:v>
                </c:pt>
                <c:pt idx="1">
                  <c:v>915970</c:v>
                </c:pt>
                <c:pt idx="2">
                  <c:v>925720</c:v>
                </c:pt>
                <c:pt idx="3">
                  <c:v>951700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23-41C5-8B13-8367A5421A3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>
              <a:latin typeface="ＭＳ 明朝" pitchFamily="17" charset="-128"/>
              <a:ea typeface="ＭＳ 明朝" pitchFamily="17" charset="-128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>
                <a:latin typeface="ＭＳ 明朝" panose="02020609040205080304" pitchFamily="17" charset="-128"/>
                <a:ea typeface="ＭＳ 明朝" panose="02020609040205080304" pitchFamily="17" charset="-128"/>
              </a:defRPr>
            </a:pPr>
            <a:r>
              <a:rPr lang="ja-JP" altLang="en-US" sz="1100" b="0" i="0" baseline="0"/>
              <a:t>商品別料金合計の比較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計算表!$M$2</c:f>
              <c:strCache>
                <c:ptCount val="1"/>
                <c:pt idx="0">
                  <c:v>料金合計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strRef>
              <c:f>計算表!$H$3:$H$10</c:f>
              <c:strCache>
                <c:ptCount val="8"/>
                <c:pt idx="0">
                  <c:v>Ｐ商品</c:v>
                </c:pt>
                <c:pt idx="1">
                  <c:v>Ｑ商品</c:v>
                </c:pt>
                <c:pt idx="2">
                  <c:v>Ｒ商品</c:v>
                </c:pt>
                <c:pt idx="3">
                  <c:v>Ｓ商品</c:v>
                </c:pt>
                <c:pt idx="4">
                  <c:v>Ｔ商品</c:v>
                </c:pt>
                <c:pt idx="5">
                  <c:v>Ｕ商品</c:v>
                </c:pt>
                <c:pt idx="6">
                  <c:v>Ｖ商品</c:v>
                </c:pt>
                <c:pt idx="7">
                  <c:v>Ｗ商品</c:v>
                </c:pt>
              </c:strCache>
            </c:strRef>
          </c:cat>
          <c:val>
            <c:numRef>
              <c:f>計算表!$M$3:$M$10</c:f>
              <c:numCache>
                <c:formatCode>#,##0_);[Red]\(#,##0\)</c:formatCode>
                <c:ptCount val="8"/>
                <c:pt idx="0">
                  <c:v>610250</c:v>
                </c:pt>
                <c:pt idx="1">
                  <c:v>619400</c:v>
                </c:pt>
                <c:pt idx="2">
                  <c:v>558380</c:v>
                </c:pt>
                <c:pt idx="3">
                  <c:v>563860</c:v>
                </c:pt>
                <c:pt idx="4">
                  <c:v>452090</c:v>
                </c:pt>
                <c:pt idx="5">
                  <c:v>458410</c:v>
                </c:pt>
                <c:pt idx="6">
                  <c:v>352220</c:v>
                </c:pt>
                <c:pt idx="7">
                  <c:v>357240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A5-46F1-B8E5-4404D8E96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358016"/>
        <c:axId val="100377344"/>
      </c:barChart>
      <c:catAx>
        <c:axId val="1003580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latin typeface="ＭＳ 明朝" panose="02020609040205080304" pitchFamily="17" charset="-128"/>
                <a:ea typeface="ＭＳ 明朝" panose="02020609040205080304" pitchFamily="17" charset="-128"/>
              </a:defRPr>
            </a:pPr>
            <a:endParaRPr lang="ja-JP"/>
          </a:p>
        </c:txPr>
        <c:crossAx val="100377344"/>
        <c:crosses val="autoZero"/>
        <c:auto val="1"/>
        <c:lblAlgn val="ctr"/>
        <c:lblOffset val="100"/>
        <c:noMultiLvlLbl val="0"/>
      </c:catAx>
      <c:valAx>
        <c:axId val="100377344"/>
        <c:scaling>
          <c:orientation val="minMax"/>
        </c:scaling>
        <c:delete val="0"/>
        <c:axPos val="b"/>
        <c:majorGridlines/>
        <c:numFmt formatCode="#,##0_);[Red]\(#,##0\)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ＭＳ 明朝" panose="02020609040205080304" pitchFamily="17" charset="-128"/>
                <a:ea typeface="ＭＳ 明朝" panose="02020609040205080304" pitchFamily="17" charset="-128"/>
              </a:defRPr>
            </a:pPr>
            <a:endParaRPr lang="ja-JP"/>
          </a:p>
        </c:txPr>
        <c:crossAx val="10035801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baseline="0">
              <a:latin typeface="ＭＳ 明朝" panose="02020609040205080304" pitchFamily="17" charset="-128"/>
              <a:ea typeface="ＭＳ 明朝" panose="02020609040205080304" pitchFamily="17" charset="-128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14</xdr:row>
      <xdr:rowOff>133350</xdr:rowOff>
    </xdr:from>
    <xdr:to>
      <xdr:col>6</xdr:col>
      <xdr:colOff>800100</xdr:colOff>
      <xdr:row>29</xdr:row>
      <xdr:rowOff>104775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27AEC81-0AEE-409A-B0FD-B6780A656E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500062</xdr:colOff>
      <xdr:row>14</xdr:row>
      <xdr:rowOff>47625</xdr:rowOff>
    </xdr:from>
    <xdr:to>
      <xdr:col>14</xdr:col>
      <xdr:colOff>3509962</xdr:colOff>
      <xdr:row>30</xdr:row>
      <xdr:rowOff>47625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8AA6BAAB-74CD-4444-8B3D-DA2A501AC0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データ表" connectionId="1" xr16:uid="{273B0B3E-3C84-4AB7-A5BF-3D84F515809A}" autoFormatId="20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workbookViewId="0"/>
  </sheetViews>
  <sheetFormatPr defaultRowHeight="13.5"/>
  <cols>
    <col min="1" max="1" width="7.5" bestFit="1" customWidth="1"/>
    <col min="2" max="2" width="9.5" bestFit="1" customWidth="1"/>
    <col min="3" max="3" width="5" customWidth="1"/>
    <col min="4" max="5" width="7.5" bestFit="1" customWidth="1"/>
    <col min="6" max="6" width="9.5" bestFit="1" customWidth="1"/>
    <col min="7" max="9" width="4.5" bestFit="1" customWidth="1"/>
    <col min="10" max="10" width="9" customWidth="1"/>
  </cols>
  <sheetData>
    <row r="1" spans="1:9">
      <c r="A1" t="s">
        <v>24</v>
      </c>
      <c r="D1" t="s">
        <v>2</v>
      </c>
    </row>
    <row r="2" spans="1:9">
      <c r="A2" s="31" t="s">
        <v>25</v>
      </c>
      <c r="B2" s="31" t="s">
        <v>26</v>
      </c>
      <c r="D2" s="41" t="s">
        <v>0</v>
      </c>
      <c r="E2" s="41" t="s">
        <v>1</v>
      </c>
      <c r="F2" s="41" t="s">
        <v>15</v>
      </c>
      <c r="G2" s="41" t="s">
        <v>18</v>
      </c>
      <c r="H2" s="41"/>
      <c r="I2" s="41"/>
    </row>
    <row r="3" spans="1:9">
      <c r="A3" s="1">
        <v>11</v>
      </c>
      <c r="B3" s="24" t="s">
        <v>29</v>
      </c>
      <c r="D3" s="41"/>
      <c r="E3" s="41"/>
      <c r="F3" s="41"/>
      <c r="G3" s="42" t="s">
        <v>19</v>
      </c>
      <c r="H3" s="42"/>
      <c r="I3" s="42"/>
    </row>
    <row r="4" spans="1:9">
      <c r="A4" s="1">
        <v>12</v>
      </c>
      <c r="B4" s="24" t="s">
        <v>28</v>
      </c>
      <c r="D4" s="41"/>
      <c r="E4" s="41"/>
      <c r="F4" s="41"/>
      <c r="G4" s="28" t="s">
        <v>6</v>
      </c>
      <c r="H4" s="28" t="s">
        <v>7</v>
      </c>
      <c r="I4" s="28" t="s">
        <v>8</v>
      </c>
    </row>
    <row r="5" spans="1:9">
      <c r="A5" s="1">
        <v>13</v>
      </c>
      <c r="B5" s="24" t="s">
        <v>30</v>
      </c>
      <c r="D5" s="1">
        <v>101</v>
      </c>
      <c r="E5" s="1" t="s">
        <v>31</v>
      </c>
      <c r="F5" s="34">
        <v>7350</v>
      </c>
      <c r="G5" s="35">
        <v>530</v>
      </c>
      <c r="H5" s="35">
        <v>480</v>
      </c>
      <c r="I5" s="35">
        <v>430</v>
      </c>
    </row>
    <row r="6" spans="1:9">
      <c r="A6" s="1">
        <v>14</v>
      </c>
      <c r="B6" s="24" t="s">
        <v>27</v>
      </c>
      <c r="D6" s="1">
        <v>102</v>
      </c>
      <c r="E6" s="1" t="s">
        <v>32</v>
      </c>
      <c r="F6" s="34">
        <v>6720</v>
      </c>
      <c r="G6" s="35">
        <v>490</v>
      </c>
      <c r="H6" s="35">
        <v>440</v>
      </c>
      <c r="I6" s="35">
        <v>390</v>
      </c>
    </row>
    <row r="7" spans="1:9">
      <c r="D7" s="1">
        <v>103</v>
      </c>
      <c r="E7" s="1" t="s">
        <v>33</v>
      </c>
      <c r="F7" s="34">
        <v>6290</v>
      </c>
      <c r="G7" s="35">
        <v>460</v>
      </c>
      <c r="H7" s="35">
        <v>410</v>
      </c>
      <c r="I7" s="35">
        <v>370</v>
      </c>
    </row>
    <row r="8" spans="1:9">
      <c r="D8" s="1">
        <v>104</v>
      </c>
      <c r="E8" s="1" t="s">
        <v>34</v>
      </c>
      <c r="F8" s="34">
        <v>5910</v>
      </c>
      <c r="G8" s="35">
        <v>430</v>
      </c>
      <c r="H8" s="35">
        <v>390</v>
      </c>
      <c r="I8" s="35">
        <v>350</v>
      </c>
    </row>
    <row r="9" spans="1:9">
      <c r="D9" s="1">
        <v>105</v>
      </c>
      <c r="E9" s="1" t="s">
        <v>35</v>
      </c>
      <c r="F9" s="34">
        <v>5340</v>
      </c>
      <c r="G9" s="35">
        <v>390</v>
      </c>
      <c r="H9" s="35">
        <v>350</v>
      </c>
      <c r="I9" s="35">
        <v>310</v>
      </c>
    </row>
    <row r="10" spans="1:9">
      <c r="D10" s="1">
        <v>106</v>
      </c>
      <c r="E10" s="1" t="s">
        <v>36</v>
      </c>
      <c r="F10" s="34">
        <v>4970</v>
      </c>
      <c r="G10" s="35">
        <v>360</v>
      </c>
      <c r="H10" s="35">
        <v>330</v>
      </c>
      <c r="I10" s="35">
        <v>290</v>
      </c>
    </row>
    <row r="11" spans="1:9">
      <c r="D11" s="1">
        <v>107</v>
      </c>
      <c r="E11" s="1" t="s">
        <v>37</v>
      </c>
      <c r="F11" s="34">
        <v>4630</v>
      </c>
      <c r="G11" s="35">
        <v>340</v>
      </c>
      <c r="H11" s="35">
        <v>310</v>
      </c>
      <c r="I11" s="35">
        <v>270</v>
      </c>
    </row>
    <row r="12" spans="1:9">
      <c r="D12" s="1">
        <v>108</v>
      </c>
      <c r="E12" s="1" t="s">
        <v>38</v>
      </c>
      <c r="F12" s="34">
        <v>4080</v>
      </c>
      <c r="G12" s="35">
        <v>300</v>
      </c>
      <c r="H12" s="35">
        <v>270</v>
      </c>
      <c r="I12" s="35">
        <v>240</v>
      </c>
    </row>
  </sheetData>
  <sortState xmlns:xlrd2="http://schemas.microsoft.com/office/spreadsheetml/2017/richdata2" ref="A3:B6">
    <sortCondition ref="A3:A6"/>
  </sortState>
  <mergeCells count="5">
    <mergeCell ref="G2:I2"/>
    <mergeCell ref="D2:D4"/>
    <mergeCell ref="E2:E4"/>
    <mergeCell ref="F2:F4"/>
    <mergeCell ref="G3:I3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7"/>
  <sheetViews>
    <sheetView workbookViewId="0"/>
  </sheetViews>
  <sheetFormatPr defaultRowHeight="13.5"/>
  <cols>
    <col min="1" max="1" width="7.5" bestFit="1" customWidth="1"/>
    <col min="2" max="2" width="9.5" bestFit="1" customWidth="1"/>
    <col min="3" max="4" width="7.5" bestFit="1" customWidth="1"/>
    <col min="5" max="5" width="5.5" bestFit="1" customWidth="1"/>
    <col min="6" max="6" width="10.5" bestFit="1" customWidth="1"/>
    <col min="7" max="7" width="9.5" bestFit="1" customWidth="1"/>
    <col min="8" max="8" width="5.5" bestFit="1" customWidth="1"/>
    <col min="9" max="9" width="9.5" bestFit="1" customWidth="1"/>
    <col min="10" max="10" width="10.5" bestFit="1" customWidth="1"/>
  </cols>
  <sheetData>
    <row r="1" spans="1:10">
      <c r="A1" s="3" t="s">
        <v>25</v>
      </c>
      <c r="B1" s="4" t="s">
        <v>26</v>
      </c>
      <c r="C1" s="4" t="s">
        <v>0</v>
      </c>
      <c r="D1" s="4" t="s">
        <v>1</v>
      </c>
      <c r="E1" s="4" t="s">
        <v>10</v>
      </c>
      <c r="F1" s="4" t="s">
        <v>20</v>
      </c>
      <c r="G1" s="4" t="s">
        <v>21</v>
      </c>
      <c r="H1" s="4" t="s">
        <v>11</v>
      </c>
      <c r="I1" s="4" t="s">
        <v>12</v>
      </c>
      <c r="J1" s="5" t="s">
        <v>16</v>
      </c>
    </row>
    <row r="2" spans="1:10">
      <c r="A2" s="6">
        <v>11</v>
      </c>
      <c r="B2" s="1" t="str">
        <f>VLOOKUP(A2,テーブル!$A$3:$B$6,2,0)</f>
        <v>鈴木総業</v>
      </c>
      <c r="C2" s="1">
        <v>101</v>
      </c>
      <c r="D2" s="1" t="str">
        <f>VLOOKUP(C2,テーブル!$D$5:$I$12,2,0)</f>
        <v>Ｐ商品</v>
      </c>
      <c r="E2" s="1">
        <v>9</v>
      </c>
      <c r="F2" s="32">
        <f>IF(E2&lt;10,VLOOKUP(C2,テーブル!$D$5:$I$12,3,0)*E2,VLOOKUP(C2,テーブル!$D$5:$I$12,3,0)*10)</f>
        <v>66150</v>
      </c>
      <c r="G2" s="32">
        <f>ROUND(IF(E2&lt;10,0,VLOOKUP(C2,テーブル!$D$5:$I$12,3,0)*58%*(E2-10)),-1)</f>
        <v>0</v>
      </c>
      <c r="H2" s="1" t="s">
        <v>6</v>
      </c>
      <c r="I2" s="2">
        <f>ROUNDDOWN(INDEX(テーブル!$G$5:$I$12,MATCH(C2,テーブル!$D$5:$D$12,0),MATCH(H2,テーブル!$G$4:$I$4,0))*E2,-2)</f>
        <v>4700</v>
      </c>
      <c r="J2" s="39">
        <f t="shared" ref="J2:J65" si="0">F2+G2+I2</f>
        <v>70850</v>
      </c>
    </row>
    <row r="3" spans="1:10">
      <c r="A3" s="6">
        <v>11</v>
      </c>
      <c r="B3" s="1" t="str">
        <f>VLOOKUP(A3,テーブル!$A$3:$B$6,2,0)</f>
        <v>鈴木総業</v>
      </c>
      <c r="C3" s="1">
        <v>102</v>
      </c>
      <c r="D3" s="1" t="str">
        <f>VLOOKUP(C3,テーブル!$D$5:$I$12,2,0)</f>
        <v>Ｑ商品</v>
      </c>
      <c r="E3" s="1">
        <v>16</v>
      </c>
      <c r="F3" s="32">
        <f>IF(E3&lt;10,VLOOKUP(C3,テーブル!$D$5:$I$12,3,0)*E3,VLOOKUP(C3,テーブル!$D$5:$I$12,3,0)*10)</f>
        <v>67200</v>
      </c>
      <c r="G3" s="32">
        <f>ROUND(IF(E3&lt;10,0,VLOOKUP(C3,テーブル!$D$5:$I$12,3,0)*58%*(E3-10)),-1)</f>
        <v>23390</v>
      </c>
      <c r="H3" s="1" t="s">
        <v>8</v>
      </c>
      <c r="I3" s="2">
        <f>ROUNDDOWN(INDEX(テーブル!$G$5:$I$12,MATCH(C3,テーブル!$D$5:$D$12,0),MATCH(H3,テーブル!$G$4:$I$4,0))*E3,-2)</f>
        <v>6200</v>
      </c>
      <c r="J3" s="39">
        <f t="shared" si="0"/>
        <v>96790</v>
      </c>
    </row>
    <row r="4" spans="1:10">
      <c r="A4" s="6">
        <v>11</v>
      </c>
      <c r="B4" s="1" t="str">
        <f>VLOOKUP(A4,テーブル!$A$3:$B$6,2,0)</f>
        <v>鈴木総業</v>
      </c>
      <c r="C4" s="1">
        <v>103</v>
      </c>
      <c r="D4" s="1" t="str">
        <f>VLOOKUP(C4,テーブル!$D$5:$I$12,2,0)</f>
        <v>Ｒ商品</v>
      </c>
      <c r="E4" s="1">
        <v>12</v>
      </c>
      <c r="F4" s="32">
        <f>IF(E4&lt;10,VLOOKUP(C4,テーブル!$D$5:$I$12,3,0)*E4,VLOOKUP(C4,テーブル!$D$5:$I$12,3,0)*10)</f>
        <v>62900</v>
      </c>
      <c r="G4" s="32">
        <f>ROUND(IF(E4&lt;10,0,VLOOKUP(C4,テーブル!$D$5:$I$12,3,0)*58%*(E4-10)),-1)</f>
        <v>7300</v>
      </c>
      <c r="H4" s="1" t="s">
        <v>7</v>
      </c>
      <c r="I4" s="2">
        <f>ROUNDDOWN(INDEX(テーブル!$G$5:$I$12,MATCH(C4,テーブル!$D$5:$D$12,0),MATCH(H4,テーブル!$G$4:$I$4,0))*E4,-2)</f>
        <v>4900</v>
      </c>
      <c r="J4" s="39">
        <f t="shared" si="0"/>
        <v>75100</v>
      </c>
    </row>
    <row r="5" spans="1:10">
      <c r="A5" s="6">
        <v>11</v>
      </c>
      <c r="B5" s="1" t="str">
        <f>VLOOKUP(A5,テーブル!$A$3:$B$6,2,0)</f>
        <v>鈴木総業</v>
      </c>
      <c r="C5" s="1">
        <v>104</v>
      </c>
      <c r="D5" s="1" t="str">
        <f>VLOOKUP(C5,テーブル!$D$5:$I$12,2,0)</f>
        <v>Ｓ商品</v>
      </c>
      <c r="E5" s="1">
        <v>14</v>
      </c>
      <c r="F5" s="32">
        <f>IF(E5&lt;10,VLOOKUP(C5,テーブル!$D$5:$I$12,3,0)*E5,VLOOKUP(C5,テーブル!$D$5:$I$12,3,0)*10)</f>
        <v>59100</v>
      </c>
      <c r="G5" s="32">
        <f>ROUND(IF(E5&lt;10,0,VLOOKUP(C5,テーブル!$D$5:$I$12,3,0)*58%*(E5-10)),-1)</f>
        <v>13710</v>
      </c>
      <c r="H5" s="1" t="s">
        <v>7</v>
      </c>
      <c r="I5" s="2">
        <f>ROUNDDOWN(INDEX(テーブル!$G$5:$I$12,MATCH(C5,テーブル!$D$5:$D$12,0),MATCH(H5,テーブル!$G$4:$I$4,0))*E5,-2)</f>
        <v>5400</v>
      </c>
      <c r="J5" s="39">
        <f t="shared" si="0"/>
        <v>78210</v>
      </c>
    </row>
    <row r="6" spans="1:10">
      <c r="A6" s="6">
        <v>12</v>
      </c>
      <c r="B6" s="1" t="str">
        <f>VLOOKUP(A6,テーブル!$A$3:$B$6,2,0)</f>
        <v>北陸商事</v>
      </c>
      <c r="C6" s="1">
        <v>101</v>
      </c>
      <c r="D6" s="1" t="str">
        <f>VLOOKUP(C6,テーブル!$D$5:$I$12,2,0)</f>
        <v>Ｐ商品</v>
      </c>
      <c r="E6" s="1">
        <v>9</v>
      </c>
      <c r="F6" s="32">
        <f>IF(E6&lt;10,VLOOKUP(C6,テーブル!$D$5:$I$12,3,0)*E6,VLOOKUP(C6,テーブル!$D$5:$I$12,3,0)*10)</f>
        <v>66150</v>
      </c>
      <c r="G6" s="32">
        <f>ROUND(IF(E6&lt;10,0,VLOOKUP(C6,テーブル!$D$5:$I$12,3,0)*58%*(E6-10)),-1)</f>
        <v>0</v>
      </c>
      <c r="H6" s="1" t="s">
        <v>8</v>
      </c>
      <c r="I6" s="2">
        <f>ROUNDDOWN(INDEX(テーブル!$G$5:$I$12,MATCH(C6,テーブル!$D$5:$D$12,0),MATCH(H6,テーブル!$G$4:$I$4,0))*E6,-2)</f>
        <v>3800</v>
      </c>
      <c r="J6" s="39">
        <f t="shared" si="0"/>
        <v>69950</v>
      </c>
    </row>
    <row r="7" spans="1:10">
      <c r="A7" s="6">
        <v>12</v>
      </c>
      <c r="B7" s="1" t="str">
        <f>VLOOKUP(A7,テーブル!$A$3:$B$6,2,0)</f>
        <v>北陸商事</v>
      </c>
      <c r="C7" s="1">
        <v>102</v>
      </c>
      <c r="D7" s="1" t="str">
        <f>VLOOKUP(C7,テーブル!$D$5:$I$12,2,0)</f>
        <v>Ｑ商品</v>
      </c>
      <c r="E7" s="1">
        <v>10</v>
      </c>
      <c r="F7" s="32">
        <f>IF(E7&lt;10,VLOOKUP(C7,テーブル!$D$5:$I$12,3,0)*E7,VLOOKUP(C7,テーブル!$D$5:$I$12,3,0)*10)</f>
        <v>67200</v>
      </c>
      <c r="G7" s="32">
        <f>ROUND(IF(E7&lt;10,0,VLOOKUP(C7,テーブル!$D$5:$I$12,3,0)*58%*(E7-10)),-1)</f>
        <v>0</v>
      </c>
      <c r="H7" s="1" t="s">
        <v>6</v>
      </c>
      <c r="I7" s="2">
        <f>ROUNDDOWN(INDEX(テーブル!$G$5:$I$12,MATCH(C7,テーブル!$D$5:$D$12,0),MATCH(H7,テーブル!$G$4:$I$4,0))*E7,-2)</f>
        <v>4900</v>
      </c>
      <c r="J7" s="39">
        <f t="shared" si="0"/>
        <v>72100</v>
      </c>
    </row>
    <row r="8" spans="1:10">
      <c r="A8" s="6">
        <v>12</v>
      </c>
      <c r="B8" s="1" t="str">
        <f>VLOOKUP(A8,テーブル!$A$3:$B$6,2,0)</f>
        <v>北陸商事</v>
      </c>
      <c r="C8" s="1">
        <v>103</v>
      </c>
      <c r="D8" s="1" t="str">
        <f>VLOOKUP(C8,テーブル!$D$5:$I$12,2,0)</f>
        <v>Ｒ商品</v>
      </c>
      <c r="E8" s="1">
        <v>12</v>
      </c>
      <c r="F8" s="32">
        <f>IF(E8&lt;10,VLOOKUP(C8,テーブル!$D$5:$I$12,3,0)*E8,VLOOKUP(C8,テーブル!$D$5:$I$12,3,0)*10)</f>
        <v>62900</v>
      </c>
      <c r="G8" s="32">
        <f>ROUND(IF(E8&lt;10,0,VLOOKUP(C8,テーブル!$D$5:$I$12,3,0)*58%*(E8-10)),-1)</f>
        <v>7300</v>
      </c>
      <c r="H8" s="1" t="s">
        <v>8</v>
      </c>
      <c r="I8" s="2">
        <f>ROUNDDOWN(INDEX(テーブル!$G$5:$I$12,MATCH(C8,テーブル!$D$5:$D$12,0),MATCH(H8,テーブル!$G$4:$I$4,0))*E8,-2)</f>
        <v>4400</v>
      </c>
      <c r="J8" s="39">
        <f t="shared" si="0"/>
        <v>74600</v>
      </c>
    </row>
    <row r="9" spans="1:10">
      <c r="A9" s="6">
        <v>12</v>
      </c>
      <c r="B9" s="1" t="str">
        <f>VLOOKUP(A9,テーブル!$A$3:$B$6,2,0)</f>
        <v>北陸商事</v>
      </c>
      <c r="C9" s="1">
        <v>104</v>
      </c>
      <c r="D9" s="1" t="str">
        <f>VLOOKUP(C9,テーブル!$D$5:$I$12,2,0)</f>
        <v>Ｓ商品</v>
      </c>
      <c r="E9" s="1">
        <v>15</v>
      </c>
      <c r="F9" s="32">
        <f>IF(E9&lt;10,VLOOKUP(C9,テーブル!$D$5:$I$12,3,0)*E9,VLOOKUP(C9,テーブル!$D$5:$I$12,3,0)*10)</f>
        <v>59100</v>
      </c>
      <c r="G9" s="32">
        <f>ROUND(IF(E9&lt;10,0,VLOOKUP(C9,テーブル!$D$5:$I$12,3,0)*58%*(E9-10)),-1)</f>
        <v>17140</v>
      </c>
      <c r="H9" s="1" t="s">
        <v>7</v>
      </c>
      <c r="I9" s="2">
        <f>ROUNDDOWN(INDEX(テーブル!$G$5:$I$12,MATCH(C9,テーブル!$D$5:$D$12,0),MATCH(H9,テーブル!$G$4:$I$4,0))*E9,-2)</f>
        <v>5800</v>
      </c>
      <c r="J9" s="39">
        <f t="shared" si="0"/>
        <v>82040</v>
      </c>
    </row>
    <row r="10" spans="1:10">
      <c r="A10" s="6">
        <v>13</v>
      </c>
      <c r="B10" s="1" t="str">
        <f>VLOOKUP(A10,テーブル!$A$3:$B$6,2,0)</f>
        <v>ＮＹ物産</v>
      </c>
      <c r="C10" s="1">
        <v>101</v>
      </c>
      <c r="D10" s="1" t="str">
        <f>VLOOKUP(C10,テーブル!$D$5:$I$12,2,0)</f>
        <v>Ｐ商品</v>
      </c>
      <c r="E10" s="1">
        <v>11</v>
      </c>
      <c r="F10" s="32">
        <f>IF(E10&lt;10,VLOOKUP(C10,テーブル!$D$5:$I$12,3,0)*E10,VLOOKUP(C10,テーブル!$D$5:$I$12,3,0)*10)</f>
        <v>73500</v>
      </c>
      <c r="G10" s="32">
        <f>ROUND(IF(E10&lt;10,0,VLOOKUP(C10,テーブル!$D$5:$I$12,3,0)*58%*(E10-10)),-1)</f>
        <v>4260</v>
      </c>
      <c r="H10" s="1" t="s">
        <v>6</v>
      </c>
      <c r="I10" s="2">
        <f>ROUNDDOWN(INDEX(テーブル!$G$5:$I$12,MATCH(C10,テーブル!$D$5:$D$12,0),MATCH(H10,テーブル!$G$4:$I$4,0))*E10,-2)</f>
        <v>5800</v>
      </c>
      <c r="J10" s="39">
        <f t="shared" si="0"/>
        <v>83560</v>
      </c>
    </row>
    <row r="11" spans="1:10">
      <c r="A11" s="6">
        <v>13</v>
      </c>
      <c r="B11" s="1" t="str">
        <f>VLOOKUP(A11,テーブル!$A$3:$B$6,2,0)</f>
        <v>ＮＹ物産</v>
      </c>
      <c r="C11" s="1">
        <v>102</v>
      </c>
      <c r="D11" s="1" t="str">
        <f>VLOOKUP(C11,テーブル!$D$5:$I$12,2,0)</f>
        <v>Ｑ商品</v>
      </c>
      <c r="E11" s="1">
        <v>9</v>
      </c>
      <c r="F11" s="32">
        <f>IF(E11&lt;10,VLOOKUP(C11,テーブル!$D$5:$I$12,3,0)*E11,VLOOKUP(C11,テーブル!$D$5:$I$12,3,0)*10)</f>
        <v>60480</v>
      </c>
      <c r="G11" s="32">
        <f>ROUND(IF(E11&lt;10,0,VLOOKUP(C11,テーブル!$D$5:$I$12,3,0)*58%*(E11-10)),-1)</f>
        <v>0</v>
      </c>
      <c r="H11" s="1" t="s">
        <v>8</v>
      </c>
      <c r="I11" s="2">
        <f>ROUNDDOWN(INDEX(テーブル!$G$5:$I$12,MATCH(C11,テーブル!$D$5:$D$12,0),MATCH(H11,テーブル!$G$4:$I$4,0))*E11,-2)</f>
        <v>3500</v>
      </c>
      <c r="J11" s="39">
        <f t="shared" si="0"/>
        <v>63980</v>
      </c>
    </row>
    <row r="12" spans="1:10">
      <c r="A12" s="6">
        <v>13</v>
      </c>
      <c r="B12" s="1" t="str">
        <f>VLOOKUP(A12,テーブル!$A$3:$B$6,2,0)</f>
        <v>ＮＹ物産</v>
      </c>
      <c r="C12" s="1">
        <v>103</v>
      </c>
      <c r="D12" s="1" t="str">
        <f>VLOOKUP(C12,テーブル!$D$5:$I$12,2,0)</f>
        <v>Ｒ商品</v>
      </c>
      <c r="E12" s="1">
        <v>8</v>
      </c>
      <c r="F12" s="32">
        <f>IF(E12&lt;10,VLOOKUP(C12,テーブル!$D$5:$I$12,3,0)*E12,VLOOKUP(C12,テーブル!$D$5:$I$12,3,0)*10)</f>
        <v>50320</v>
      </c>
      <c r="G12" s="32">
        <f>ROUND(IF(E12&lt;10,0,VLOOKUP(C12,テーブル!$D$5:$I$12,3,0)*58%*(E12-10)),-1)</f>
        <v>0</v>
      </c>
      <c r="H12" s="1" t="s">
        <v>6</v>
      </c>
      <c r="I12" s="2">
        <f>ROUNDDOWN(INDEX(テーブル!$G$5:$I$12,MATCH(C12,テーブル!$D$5:$D$12,0),MATCH(H12,テーブル!$G$4:$I$4,0))*E12,-2)</f>
        <v>3600</v>
      </c>
      <c r="J12" s="39">
        <f t="shared" si="0"/>
        <v>53920</v>
      </c>
    </row>
    <row r="13" spans="1:10">
      <c r="A13" s="6">
        <v>13</v>
      </c>
      <c r="B13" s="1" t="str">
        <f>VLOOKUP(A13,テーブル!$A$3:$B$6,2,0)</f>
        <v>ＮＹ物産</v>
      </c>
      <c r="C13" s="1">
        <v>104</v>
      </c>
      <c r="D13" s="1" t="str">
        <f>VLOOKUP(C13,テーブル!$D$5:$I$12,2,0)</f>
        <v>Ｓ商品</v>
      </c>
      <c r="E13" s="1">
        <v>16</v>
      </c>
      <c r="F13" s="32">
        <f>IF(E13&lt;10,VLOOKUP(C13,テーブル!$D$5:$I$12,3,0)*E13,VLOOKUP(C13,テーブル!$D$5:$I$12,3,0)*10)</f>
        <v>59100</v>
      </c>
      <c r="G13" s="32">
        <f>ROUND(IF(E13&lt;10,0,VLOOKUP(C13,テーブル!$D$5:$I$12,3,0)*58%*(E13-10)),-1)</f>
        <v>20570</v>
      </c>
      <c r="H13" s="1" t="s">
        <v>8</v>
      </c>
      <c r="I13" s="2">
        <f>ROUNDDOWN(INDEX(テーブル!$G$5:$I$12,MATCH(C13,テーブル!$D$5:$D$12,0),MATCH(H13,テーブル!$G$4:$I$4,0))*E13,-2)</f>
        <v>5600</v>
      </c>
      <c r="J13" s="39">
        <f t="shared" si="0"/>
        <v>85270</v>
      </c>
    </row>
    <row r="14" spans="1:10">
      <c r="A14" s="6">
        <v>14</v>
      </c>
      <c r="B14" s="1" t="str">
        <f>VLOOKUP(A14,テーブル!$A$3:$B$6,2,0)</f>
        <v>井上企画</v>
      </c>
      <c r="C14" s="1">
        <v>101</v>
      </c>
      <c r="D14" s="1" t="str">
        <f>VLOOKUP(C14,テーブル!$D$5:$I$12,2,0)</f>
        <v>Ｐ商品</v>
      </c>
      <c r="E14" s="1">
        <v>7</v>
      </c>
      <c r="F14" s="32">
        <f>IF(E14&lt;10,VLOOKUP(C14,テーブル!$D$5:$I$12,3,0)*E14,VLOOKUP(C14,テーブル!$D$5:$I$12,3,0)*10)</f>
        <v>51450</v>
      </c>
      <c r="G14" s="32">
        <f>ROUND(IF(E14&lt;10,0,VLOOKUP(C14,テーブル!$D$5:$I$12,3,0)*58%*(E14-10)),-1)</f>
        <v>0</v>
      </c>
      <c r="H14" s="1" t="s">
        <v>6</v>
      </c>
      <c r="I14" s="2">
        <f>ROUNDDOWN(INDEX(テーブル!$G$5:$I$12,MATCH(C14,テーブル!$D$5:$D$12,0),MATCH(H14,テーブル!$G$4:$I$4,0))*E14,-2)</f>
        <v>3700</v>
      </c>
      <c r="J14" s="39">
        <f t="shared" si="0"/>
        <v>55150</v>
      </c>
    </row>
    <row r="15" spans="1:10">
      <c r="A15" s="6">
        <v>14</v>
      </c>
      <c r="B15" s="1" t="str">
        <f>VLOOKUP(A15,テーブル!$A$3:$B$6,2,0)</f>
        <v>井上企画</v>
      </c>
      <c r="C15" s="1">
        <v>102</v>
      </c>
      <c r="D15" s="1" t="str">
        <f>VLOOKUP(C15,テーブル!$D$5:$I$12,2,0)</f>
        <v>Ｑ商品</v>
      </c>
      <c r="E15" s="1">
        <v>14</v>
      </c>
      <c r="F15" s="32">
        <f>IF(E15&lt;10,VLOOKUP(C15,テーブル!$D$5:$I$12,3,0)*E15,VLOOKUP(C15,テーブル!$D$5:$I$12,3,0)*10)</f>
        <v>67200</v>
      </c>
      <c r="G15" s="32">
        <f>ROUND(IF(E15&lt;10,0,VLOOKUP(C15,テーブル!$D$5:$I$12,3,0)*58%*(E15-10)),-1)</f>
        <v>15590</v>
      </c>
      <c r="H15" s="1" t="s">
        <v>8</v>
      </c>
      <c r="I15" s="2">
        <f>ROUNDDOWN(INDEX(テーブル!$G$5:$I$12,MATCH(C15,テーブル!$D$5:$D$12,0),MATCH(H15,テーブル!$G$4:$I$4,0))*E15,-2)</f>
        <v>5400</v>
      </c>
      <c r="J15" s="39">
        <f t="shared" si="0"/>
        <v>88190</v>
      </c>
    </row>
    <row r="16" spans="1:10">
      <c r="A16" s="6">
        <v>14</v>
      </c>
      <c r="B16" s="1" t="str">
        <f>VLOOKUP(A16,テーブル!$A$3:$B$6,2,0)</f>
        <v>井上企画</v>
      </c>
      <c r="C16" s="1">
        <v>103</v>
      </c>
      <c r="D16" s="1" t="str">
        <f>VLOOKUP(C16,テーブル!$D$5:$I$12,2,0)</f>
        <v>Ｒ商品</v>
      </c>
      <c r="E16" s="1">
        <v>13</v>
      </c>
      <c r="F16" s="32">
        <f>IF(E16&lt;10,VLOOKUP(C16,テーブル!$D$5:$I$12,3,0)*E16,VLOOKUP(C16,テーブル!$D$5:$I$12,3,0)*10)</f>
        <v>62900</v>
      </c>
      <c r="G16" s="32">
        <f>ROUND(IF(E16&lt;10,0,VLOOKUP(C16,テーブル!$D$5:$I$12,3,0)*58%*(E16-10)),-1)</f>
        <v>10940</v>
      </c>
      <c r="H16" s="1" t="s">
        <v>7</v>
      </c>
      <c r="I16" s="2">
        <f>ROUNDDOWN(INDEX(テーブル!$G$5:$I$12,MATCH(C16,テーブル!$D$5:$D$12,0),MATCH(H16,テーブル!$G$4:$I$4,0))*E16,-2)</f>
        <v>5300</v>
      </c>
      <c r="J16" s="39">
        <f t="shared" si="0"/>
        <v>79140</v>
      </c>
    </row>
    <row r="17" spans="1:10">
      <c r="A17" s="6">
        <v>14</v>
      </c>
      <c r="B17" s="1" t="str">
        <f>VLOOKUP(A17,テーブル!$A$3:$B$6,2,0)</f>
        <v>井上企画</v>
      </c>
      <c r="C17" s="1">
        <v>104</v>
      </c>
      <c r="D17" s="1" t="str">
        <f>VLOOKUP(C17,テーブル!$D$5:$I$12,2,0)</f>
        <v>Ｓ商品</v>
      </c>
      <c r="E17" s="1">
        <v>8</v>
      </c>
      <c r="F17" s="32">
        <f>IF(E17&lt;10,VLOOKUP(C17,テーブル!$D$5:$I$12,3,0)*E17,VLOOKUP(C17,テーブル!$D$5:$I$12,3,0)*10)</f>
        <v>47280</v>
      </c>
      <c r="G17" s="32">
        <f>ROUND(IF(E17&lt;10,0,VLOOKUP(C17,テーブル!$D$5:$I$12,3,0)*58%*(E17-10)),-1)</f>
        <v>0</v>
      </c>
      <c r="H17" s="1" t="s">
        <v>6</v>
      </c>
      <c r="I17" s="2">
        <f>ROUNDDOWN(INDEX(テーブル!$G$5:$I$12,MATCH(C17,テーブル!$D$5:$D$12,0),MATCH(H17,テーブル!$G$4:$I$4,0))*E17,-2)</f>
        <v>3400</v>
      </c>
      <c r="J17" s="39">
        <f t="shared" si="0"/>
        <v>50680</v>
      </c>
    </row>
    <row r="18" spans="1:10">
      <c r="A18" s="6">
        <v>11</v>
      </c>
      <c r="B18" s="1" t="str">
        <f>VLOOKUP(A18,テーブル!$A$3:$B$6,2,0)</f>
        <v>鈴木総業</v>
      </c>
      <c r="C18" s="1">
        <v>105</v>
      </c>
      <c r="D18" s="1" t="str">
        <f>VLOOKUP(C18,テーブル!$D$5:$I$12,2,0)</f>
        <v>Ｔ商品</v>
      </c>
      <c r="E18" s="1">
        <v>12</v>
      </c>
      <c r="F18" s="32">
        <f>IF(E18&lt;10,VLOOKUP(C18,テーブル!$D$5:$I$12,3,0)*E18,VLOOKUP(C18,テーブル!$D$5:$I$12,3,0)*10)</f>
        <v>53400</v>
      </c>
      <c r="G18" s="32">
        <f>ROUND(IF(E18&lt;10,0,VLOOKUP(C18,テーブル!$D$5:$I$12,3,0)*58%*(E18-10)),-1)</f>
        <v>6190</v>
      </c>
      <c r="H18" s="1" t="s">
        <v>8</v>
      </c>
      <c r="I18" s="2">
        <f>ROUNDDOWN(INDEX(テーブル!$G$5:$I$12,MATCH(C18,テーブル!$D$5:$D$12,0),MATCH(H18,テーブル!$G$4:$I$4,0))*E18,-2)</f>
        <v>3700</v>
      </c>
      <c r="J18" s="39">
        <f t="shared" si="0"/>
        <v>63290</v>
      </c>
    </row>
    <row r="19" spans="1:10">
      <c r="A19" s="6">
        <v>11</v>
      </c>
      <c r="B19" s="1" t="str">
        <f>VLOOKUP(A19,テーブル!$A$3:$B$6,2,0)</f>
        <v>鈴木総業</v>
      </c>
      <c r="C19" s="1">
        <v>106</v>
      </c>
      <c r="D19" s="1" t="str">
        <f>VLOOKUP(C19,テーブル!$D$5:$I$12,2,0)</f>
        <v>Ｕ商品</v>
      </c>
      <c r="E19" s="1">
        <v>10</v>
      </c>
      <c r="F19" s="32">
        <f>IF(E19&lt;10,VLOOKUP(C19,テーブル!$D$5:$I$12,3,0)*E19,VLOOKUP(C19,テーブル!$D$5:$I$12,3,0)*10)</f>
        <v>49700</v>
      </c>
      <c r="G19" s="32">
        <f>ROUND(IF(E19&lt;10,0,VLOOKUP(C19,テーブル!$D$5:$I$12,3,0)*58%*(E19-10)),-1)</f>
        <v>0</v>
      </c>
      <c r="H19" s="1" t="s">
        <v>6</v>
      </c>
      <c r="I19" s="2">
        <f>ROUNDDOWN(INDEX(テーブル!$G$5:$I$12,MATCH(C19,テーブル!$D$5:$D$12,0),MATCH(H19,テーブル!$G$4:$I$4,0))*E19,-2)</f>
        <v>3600</v>
      </c>
      <c r="J19" s="39">
        <f t="shared" si="0"/>
        <v>53300</v>
      </c>
    </row>
    <row r="20" spans="1:10">
      <c r="A20" s="6">
        <v>11</v>
      </c>
      <c r="B20" s="1" t="str">
        <f>VLOOKUP(A20,テーブル!$A$3:$B$6,2,0)</f>
        <v>鈴木総業</v>
      </c>
      <c r="C20" s="1">
        <v>107</v>
      </c>
      <c r="D20" s="1" t="str">
        <f>VLOOKUP(C20,テーブル!$D$5:$I$12,2,0)</f>
        <v>Ｖ商品</v>
      </c>
      <c r="E20" s="1">
        <v>7</v>
      </c>
      <c r="F20" s="32">
        <f>IF(E20&lt;10,VLOOKUP(C20,テーブル!$D$5:$I$12,3,0)*E20,VLOOKUP(C20,テーブル!$D$5:$I$12,3,0)*10)</f>
        <v>32410</v>
      </c>
      <c r="G20" s="32">
        <f>ROUND(IF(E20&lt;10,0,VLOOKUP(C20,テーブル!$D$5:$I$12,3,0)*58%*(E20-10)),-1)</f>
        <v>0</v>
      </c>
      <c r="H20" s="1" t="s">
        <v>8</v>
      </c>
      <c r="I20" s="2">
        <f>ROUNDDOWN(INDEX(テーブル!$G$5:$I$12,MATCH(C20,テーブル!$D$5:$D$12,0),MATCH(H20,テーブル!$G$4:$I$4,0))*E20,-2)</f>
        <v>1800</v>
      </c>
      <c r="J20" s="39">
        <f t="shared" si="0"/>
        <v>34210</v>
      </c>
    </row>
    <row r="21" spans="1:10">
      <c r="A21" s="6">
        <v>11</v>
      </c>
      <c r="B21" s="1" t="str">
        <f>VLOOKUP(A21,テーブル!$A$3:$B$6,2,0)</f>
        <v>鈴木総業</v>
      </c>
      <c r="C21" s="1">
        <v>108</v>
      </c>
      <c r="D21" s="1" t="str">
        <f>VLOOKUP(C21,テーブル!$D$5:$I$12,2,0)</f>
        <v>Ｗ商品</v>
      </c>
      <c r="E21" s="1">
        <v>9</v>
      </c>
      <c r="F21" s="32">
        <f>IF(E21&lt;10,VLOOKUP(C21,テーブル!$D$5:$I$12,3,0)*E21,VLOOKUP(C21,テーブル!$D$5:$I$12,3,0)*10)</f>
        <v>36720</v>
      </c>
      <c r="G21" s="32">
        <f>ROUND(IF(E21&lt;10,0,VLOOKUP(C21,テーブル!$D$5:$I$12,3,0)*58%*(E21-10)),-1)</f>
        <v>0</v>
      </c>
      <c r="H21" s="1" t="s">
        <v>7</v>
      </c>
      <c r="I21" s="2">
        <f>ROUNDDOWN(INDEX(テーブル!$G$5:$I$12,MATCH(C21,テーブル!$D$5:$D$12,0),MATCH(H21,テーブル!$G$4:$I$4,0))*E21,-2)</f>
        <v>2400</v>
      </c>
      <c r="J21" s="39">
        <f t="shared" si="0"/>
        <v>39120</v>
      </c>
    </row>
    <row r="22" spans="1:10">
      <c r="A22" s="6">
        <v>12</v>
      </c>
      <c r="B22" s="1" t="str">
        <f>VLOOKUP(A22,テーブル!$A$3:$B$6,2,0)</f>
        <v>北陸商事</v>
      </c>
      <c r="C22" s="1">
        <v>105</v>
      </c>
      <c r="D22" s="1" t="str">
        <f>VLOOKUP(C22,テーブル!$D$5:$I$12,2,0)</f>
        <v>Ｔ商品</v>
      </c>
      <c r="E22" s="1">
        <v>8</v>
      </c>
      <c r="F22" s="32">
        <f>IF(E22&lt;10,VLOOKUP(C22,テーブル!$D$5:$I$12,3,0)*E22,VLOOKUP(C22,テーブル!$D$5:$I$12,3,0)*10)</f>
        <v>42720</v>
      </c>
      <c r="G22" s="32">
        <f>ROUND(IF(E22&lt;10,0,VLOOKUP(C22,テーブル!$D$5:$I$12,3,0)*58%*(E22-10)),-1)</f>
        <v>0</v>
      </c>
      <c r="H22" s="1" t="s">
        <v>8</v>
      </c>
      <c r="I22" s="2">
        <f>ROUNDDOWN(INDEX(テーブル!$G$5:$I$12,MATCH(C22,テーブル!$D$5:$D$12,0),MATCH(H22,テーブル!$G$4:$I$4,0))*E22,-2)</f>
        <v>2400</v>
      </c>
      <c r="J22" s="39">
        <f t="shared" si="0"/>
        <v>45120</v>
      </c>
    </row>
    <row r="23" spans="1:10">
      <c r="A23" s="6">
        <v>12</v>
      </c>
      <c r="B23" s="1" t="str">
        <f>VLOOKUP(A23,テーブル!$A$3:$B$6,2,0)</f>
        <v>北陸商事</v>
      </c>
      <c r="C23" s="1">
        <v>106</v>
      </c>
      <c r="D23" s="1" t="str">
        <f>VLOOKUP(C23,テーブル!$D$5:$I$12,2,0)</f>
        <v>Ｕ商品</v>
      </c>
      <c r="E23" s="1">
        <v>11</v>
      </c>
      <c r="F23" s="32">
        <f>IF(E23&lt;10,VLOOKUP(C23,テーブル!$D$5:$I$12,3,0)*E23,VLOOKUP(C23,テーブル!$D$5:$I$12,3,0)*10)</f>
        <v>49700</v>
      </c>
      <c r="G23" s="32">
        <f>ROUND(IF(E23&lt;10,0,VLOOKUP(C23,テーブル!$D$5:$I$12,3,0)*58%*(E23-10)),-1)</f>
        <v>2880</v>
      </c>
      <c r="H23" s="1" t="s">
        <v>6</v>
      </c>
      <c r="I23" s="2">
        <f>ROUNDDOWN(INDEX(テーブル!$G$5:$I$12,MATCH(C23,テーブル!$D$5:$D$12,0),MATCH(H23,テーブル!$G$4:$I$4,0))*E23,-2)</f>
        <v>3900</v>
      </c>
      <c r="J23" s="39">
        <f t="shared" si="0"/>
        <v>56480</v>
      </c>
    </row>
    <row r="24" spans="1:10">
      <c r="A24" s="6">
        <v>12</v>
      </c>
      <c r="B24" s="1" t="str">
        <f>VLOOKUP(A24,テーブル!$A$3:$B$6,2,0)</f>
        <v>北陸商事</v>
      </c>
      <c r="C24" s="1">
        <v>107</v>
      </c>
      <c r="D24" s="1" t="str">
        <f>VLOOKUP(C24,テーブル!$D$5:$I$12,2,0)</f>
        <v>Ｖ商品</v>
      </c>
      <c r="E24" s="1">
        <v>10</v>
      </c>
      <c r="F24" s="32">
        <f>IF(E24&lt;10,VLOOKUP(C24,テーブル!$D$5:$I$12,3,0)*E24,VLOOKUP(C24,テーブル!$D$5:$I$12,3,0)*10)</f>
        <v>46300</v>
      </c>
      <c r="G24" s="32">
        <f>ROUND(IF(E24&lt;10,0,VLOOKUP(C24,テーブル!$D$5:$I$12,3,0)*58%*(E24-10)),-1)</f>
        <v>0</v>
      </c>
      <c r="H24" s="1" t="s">
        <v>7</v>
      </c>
      <c r="I24" s="2">
        <f>ROUNDDOWN(INDEX(テーブル!$G$5:$I$12,MATCH(C24,テーブル!$D$5:$D$12,0),MATCH(H24,テーブル!$G$4:$I$4,0))*E24,-2)</f>
        <v>3100</v>
      </c>
      <c r="J24" s="39">
        <f t="shared" si="0"/>
        <v>49400</v>
      </c>
    </row>
    <row r="25" spans="1:10">
      <c r="A25" s="6">
        <v>12</v>
      </c>
      <c r="B25" s="1" t="str">
        <f>VLOOKUP(A25,テーブル!$A$3:$B$6,2,0)</f>
        <v>北陸商事</v>
      </c>
      <c r="C25" s="1">
        <v>108</v>
      </c>
      <c r="D25" s="1" t="str">
        <f>VLOOKUP(C25,テーブル!$D$5:$I$12,2,0)</f>
        <v>Ｗ商品</v>
      </c>
      <c r="E25" s="1">
        <v>15</v>
      </c>
      <c r="F25" s="32">
        <f>IF(E25&lt;10,VLOOKUP(C25,テーブル!$D$5:$I$12,3,0)*E25,VLOOKUP(C25,テーブル!$D$5:$I$12,3,0)*10)</f>
        <v>40800</v>
      </c>
      <c r="G25" s="32">
        <f>ROUND(IF(E25&lt;10,0,VLOOKUP(C25,テーブル!$D$5:$I$12,3,0)*58%*(E25-10)),-1)</f>
        <v>11830</v>
      </c>
      <c r="H25" s="1" t="s">
        <v>6</v>
      </c>
      <c r="I25" s="2">
        <f>ROUNDDOWN(INDEX(テーブル!$G$5:$I$12,MATCH(C25,テーブル!$D$5:$D$12,0),MATCH(H25,テーブル!$G$4:$I$4,0))*E25,-2)</f>
        <v>4500</v>
      </c>
      <c r="J25" s="39">
        <f t="shared" si="0"/>
        <v>57130</v>
      </c>
    </row>
    <row r="26" spans="1:10">
      <c r="A26" s="6">
        <v>13</v>
      </c>
      <c r="B26" s="1" t="str">
        <f>VLOOKUP(A26,テーブル!$A$3:$B$6,2,0)</f>
        <v>ＮＹ物産</v>
      </c>
      <c r="C26" s="1">
        <v>105</v>
      </c>
      <c r="D26" s="1" t="str">
        <f>VLOOKUP(C26,テーブル!$D$5:$I$12,2,0)</f>
        <v>Ｔ商品</v>
      </c>
      <c r="E26" s="1">
        <v>13</v>
      </c>
      <c r="F26" s="32">
        <f>IF(E26&lt;10,VLOOKUP(C26,テーブル!$D$5:$I$12,3,0)*E26,VLOOKUP(C26,テーブル!$D$5:$I$12,3,0)*10)</f>
        <v>53400</v>
      </c>
      <c r="G26" s="32">
        <f>ROUND(IF(E26&lt;10,0,VLOOKUP(C26,テーブル!$D$5:$I$12,3,0)*58%*(E26-10)),-1)</f>
        <v>9290</v>
      </c>
      <c r="H26" s="1" t="s">
        <v>8</v>
      </c>
      <c r="I26" s="2">
        <f>ROUNDDOWN(INDEX(テーブル!$G$5:$I$12,MATCH(C26,テーブル!$D$5:$D$12,0),MATCH(H26,テーブル!$G$4:$I$4,0))*E26,-2)</f>
        <v>4000</v>
      </c>
      <c r="J26" s="39">
        <f t="shared" si="0"/>
        <v>66690</v>
      </c>
    </row>
    <row r="27" spans="1:10">
      <c r="A27" s="6">
        <v>13</v>
      </c>
      <c r="B27" s="1" t="str">
        <f>VLOOKUP(A27,テーブル!$A$3:$B$6,2,0)</f>
        <v>ＮＹ物産</v>
      </c>
      <c r="C27" s="1">
        <v>106</v>
      </c>
      <c r="D27" s="1" t="str">
        <f>VLOOKUP(C27,テーブル!$D$5:$I$12,2,0)</f>
        <v>Ｕ商品</v>
      </c>
      <c r="E27" s="1">
        <v>12</v>
      </c>
      <c r="F27" s="32">
        <f>IF(E27&lt;10,VLOOKUP(C27,テーブル!$D$5:$I$12,3,0)*E27,VLOOKUP(C27,テーブル!$D$5:$I$12,3,0)*10)</f>
        <v>49700</v>
      </c>
      <c r="G27" s="32">
        <f>ROUND(IF(E27&lt;10,0,VLOOKUP(C27,テーブル!$D$5:$I$12,3,0)*58%*(E27-10)),-1)</f>
        <v>5770</v>
      </c>
      <c r="H27" s="1" t="s">
        <v>7</v>
      </c>
      <c r="I27" s="2">
        <f>ROUNDDOWN(INDEX(テーブル!$G$5:$I$12,MATCH(C27,テーブル!$D$5:$D$12,0),MATCH(H27,テーブル!$G$4:$I$4,0))*E27,-2)</f>
        <v>3900</v>
      </c>
      <c r="J27" s="39">
        <f t="shared" si="0"/>
        <v>59370</v>
      </c>
    </row>
    <row r="28" spans="1:10">
      <c r="A28" s="6">
        <v>13</v>
      </c>
      <c r="B28" s="1" t="str">
        <f>VLOOKUP(A28,テーブル!$A$3:$B$6,2,0)</f>
        <v>ＮＹ物産</v>
      </c>
      <c r="C28" s="1">
        <v>107</v>
      </c>
      <c r="D28" s="1" t="str">
        <f>VLOOKUP(C28,テーブル!$D$5:$I$12,2,0)</f>
        <v>Ｖ商品</v>
      </c>
      <c r="E28" s="1">
        <v>8</v>
      </c>
      <c r="F28" s="32">
        <f>IF(E28&lt;10,VLOOKUP(C28,テーブル!$D$5:$I$12,3,0)*E28,VLOOKUP(C28,テーブル!$D$5:$I$12,3,0)*10)</f>
        <v>37040</v>
      </c>
      <c r="G28" s="32">
        <f>ROUND(IF(E28&lt;10,0,VLOOKUP(C28,テーブル!$D$5:$I$12,3,0)*58%*(E28-10)),-1)</f>
        <v>0</v>
      </c>
      <c r="H28" s="1" t="s">
        <v>8</v>
      </c>
      <c r="I28" s="2">
        <f>ROUNDDOWN(INDEX(テーブル!$G$5:$I$12,MATCH(C28,テーブル!$D$5:$D$12,0),MATCH(H28,テーブル!$G$4:$I$4,0))*E28,-2)</f>
        <v>2100</v>
      </c>
      <c r="J28" s="39">
        <f t="shared" si="0"/>
        <v>39140</v>
      </c>
    </row>
    <row r="29" spans="1:10">
      <c r="A29" s="6">
        <v>13</v>
      </c>
      <c r="B29" s="1" t="str">
        <f>VLOOKUP(A29,テーブル!$A$3:$B$6,2,0)</f>
        <v>ＮＹ物産</v>
      </c>
      <c r="C29" s="1">
        <v>108</v>
      </c>
      <c r="D29" s="1" t="str">
        <f>VLOOKUP(C29,テーブル!$D$5:$I$12,2,0)</f>
        <v>Ｗ商品</v>
      </c>
      <c r="E29" s="1">
        <v>9</v>
      </c>
      <c r="F29" s="32">
        <f>IF(E29&lt;10,VLOOKUP(C29,テーブル!$D$5:$I$12,3,0)*E29,VLOOKUP(C29,テーブル!$D$5:$I$12,3,0)*10)</f>
        <v>36720</v>
      </c>
      <c r="G29" s="32">
        <f>ROUND(IF(E29&lt;10,0,VLOOKUP(C29,テーブル!$D$5:$I$12,3,0)*58%*(E29-10)),-1)</f>
        <v>0</v>
      </c>
      <c r="H29" s="1" t="s">
        <v>7</v>
      </c>
      <c r="I29" s="2">
        <f>ROUNDDOWN(INDEX(テーブル!$G$5:$I$12,MATCH(C29,テーブル!$D$5:$D$12,0),MATCH(H29,テーブル!$G$4:$I$4,0))*E29,-2)</f>
        <v>2400</v>
      </c>
      <c r="J29" s="39">
        <f t="shared" si="0"/>
        <v>39120</v>
      </c>
    </row>
    <row r="30" spans="1:10">
      <c r="A30" s="6">
        <v>14</v>
      </c>
      <c r="B30" s="1" t="str">
        <f>VLOOKUP(A30,テーブル!$A$3:$B$6,2,0)</f>
        <v>井上企画</v>
      </c>
      <c r="C30" s="1">
        <v>105</v>
      </c>
      <c r="D30" s="1" t="str">
        <f>VLOOKUP(C30,テーブル!$D$5:$I$12,2,0)</f>
        <v>Ｔ商品</v>
      </c>
      <c r="E30" s="1">
        <v>11</v>
      </c>
      <c r="F30" s="32">
        <f>IF(E30&lt;10,VLOOKUP(C30,テーブル!$D$5:$I$12,3,0)*E30,VLOOKUP(C30,テーブル!$D$5:$I$12,3,0)*10)</f>
        <v>53400</v>
      </c>
      <c r="G30" s="32">
        <f>ROUND(IF(E30&lt;10,0,VLOOKUP(C30,テーブル!$D$5:$I$12,3,0)*58%*(E30-10)),-1)</f>
        <v>3100</v>
      </c>
      <c r="H30" s="1" t="s">
        <v>6</v>
      </c>
      <c r="I30" s="2">
        <f>ROUNDDOWN(INDEX(テーブル!$G$5:$I$12,MATCH(C30,テーブル!$D$5:$D$12,0),MATCH(H30,テーブル!$G$4:$I$4,0))*E30,-2)</f>
        <v>4200</v>
      </c>
      <c r="J30" s="39">
        <f t="shared" si="0"/>
        <v>60700</v>
      </c>
    </row>
    <row r="31" spans="1:10">
      <c r="A31" s="6">
        <v>14</v>
      </c>
      <c r="B31" s="1" t="str">
        <f>VLOOKUP(A31,テーブル!$A$3:$B$6,2,0)</f>
        <v>井上企画</v>
      </c>
      <c r="C31" s="1">
        <v>106</v>
      </c>
      <c r="D31" s="1" t="str">
        <f>VLOOKUP(C31,テーブル!$D$5:$I$12,2,0)</f>
        <v>Ｕ商品</v>
      </c>
      <c r="E31" s="1">
        <v>10</v>
      </c>
      <c r="F31" s="32">
        <f>IF(E31&lt;10,VLOOKUP(C31,テーブル!$D$5:$I$12,3,0)*E31,VLOOKUP(C31,テーブル!$D$5:$I$12,3,0)*10)</f>
        <v>49700</v>
      </c>
      <c r="G31" s="32">
        <f>ROUND(IF(E31&lt;10,0,VLOOKUP(C31,テーブル!$D$5:$I$12,3,0)*58%*(E31-10)),-1)</f>
        <v>0</v>
      </c>
      <c r="H31" s="1" t="s">
        <v>7</v>
      </c>
      <c r="I31" s="2">
        <f>ROUNDDOWN(INDEX(テーブル!$G$5:$I$12,MATCH(C31,テーブル!$D$5:$D$12,0),MATCH(H31,テーブル!$G$4:$I$4,0))*E31,-2)</f>
        <v>3300</v>
      </c>
      <c r="J31" s="39">
        <f t="shared" si="0"/>
        <v>53000</v>
      </c>
    </row>
    <row r="32" spans="1:10">
      <c r="A32" s="6">
        <v>14</v>
      </c>
      <c r="B32" s="1" t="str">
        <f>VLOOKUP(A32,テーブル!$A$3:$B$6,2,0)</f>
        <v>井上企画</v>
      </c>
      <c r="C32" s="1">
        <v>107</v>
      </c>
      <c r="D32" s="1" t="str">
        <f>VLOOKUP(C32,テーブル!$D$5:$I$12,2,0)</f>
        <v>Ｖ商品</v>
      </c>
      <c r="E32" s="1">
        <v>13</v>
      </c>
      <c r="F32" s="32">
        <f>IF(E32&lt;10,VLOOKUP(C32,テーブル!$D$5:$I$12,3,0)*E32,VLOOKUP(C32,テーブル!$D$5:$I$12,3,0)*10)</f>
        <v>46300</v>
      </c>
      <c r="G32" s="32">
        <f>ROUND(IF(E32&lt;10,0,VLOOKUP(C32,テーブル!$D$5:$I$12,3,0)*58%*(E32-10)),-1)</f>
        <v>8060</v>
      </c>
      <c r="H32" s="1" t="s">
        <v>8</v>
      </c>
      <c r="I32" s="2">
        <f>ROUNDDOWN(INDEX(テーブル!$G$5:$I$12,MATCH(C32,テーブル!$D$5:$D$12,0),MATCH(H32,テーブル!$G$4:$I$4,0))*E32,-2)</f>
        <v>3500</v>
      </c>
      <c r="J32" s="39">
        <f t="shared" si="0"/>
        <v>57860</v>
      </c>
    </row>
    <row r="33" spans="1:10">
      <c r="A33" s="6">
        <v>14</v>
      </c>
      <c r="B33" s="1" t="str">
        <f>VLOOKUP(A33,テーブル!$A$3:$B$6,2,0)</f>
        <v>井上企画</v>
      </c>
      <c r="C33" s="1">
        <v>108</v>
      </c>
      <c r="D33" s="1" t="str">
        <f>VLOOKUP(C33,テーブル!$D$5:$I$12,2,0)</f>
        <v>Ｗ商品</v>
      </c>
      <c r="E33" s="1">
        <v>8</v>
      </c>
      <c r="F33" s="32">
        <f>IF(E33&lt;10,VLOOKUP(C33,テーブル!$D$5:$I$12,3,0)*E33,VLOOKUP(C33,テーブル!$D$5:$I$12,3,0)*10)</f>
        <v>32640</v>
      </c>
      <c r="G33" s="32">
        <f>ROUND(IF(E33&lt;10,0,VLOOKUP(C33,テーブル!$D$5:$I$12,3,0)*58%*(E33-10)),-1)</f>
        <v>0</v>
      </c>
      <c r="H33" s="1" t="s">
        <v>6</v>
      </c>
      <c r="I33" s="2">
        <f>ROUNDDOWN(INDEX(テーブル!$G$5:$I$12,MATCH(C33,テーブル!$D$5:$D$12,0),MATCH(H33,テーブル!$G$4:$I$4,0))*E33,-2)</f>
        <v>2400</v>
      </c>
      <c r="J33" s="39">
        <f t="shared" si="0"/>
        <v>35040</v>
      </c>
    </row>
    <row r="34" spans="1:10">
      <c r="A34" s="6">
        <v>11</v>
      </c>
      <c r="B34" s="1" t="str">
        <f>VLOOKUP(A34,テーブル!$A$3:$B$6,2,0)</f>
        <v>鈴木総業</v>
      </c>
      <c r="C34" s="1">
        <v>101</v>
      </c>
      <c r="D34" s="1" t="str">
        <f>VLOOKUP(C34,テーブル!$D$5:$I$12,2,0)</f>
        <v>Ｐ商品</v>
      </c>
      <c r="E34" s="1">
        <v>16</v>
      </c>
      <c r="F34" s="32">
        <f>IF(E34&lt;10,VLOOKUP(C34,テーブル!$D$5:$I$12,3,0)*E34,VLOOKUP(C34,テーブル!$D$5:$I$12,3,0)*10)</f>
        <v>73500</v>
      </c>
      <c r="G34" s="32">
        <f>ROUND(IF(E34&lt;10,0,VLOOKUP(C34,テーブル!$D$5:$I$12,3,0)*58%*(E34-10)),-1)</f>
        <v>25580</v>
      </c>
      <c r="H34" s="1" t="s">
        <v>7</v>
      </c>
      <c r="I34" s="2">
        <f>ROUNDDOWN(INDEX(テーブル!$G$5:$I$12,MATCH(C34,テーブル!$D$5:$D$12,0),MATCH(H34,テーブル!$G$4:$I$4,0))*E34,-2)</f>
        <v>7600</v>
      </c>
      <c r="J34" s="39">
        <f t="shared" si="0"/>
        <v>106680</v>
      </c>
    </row>
    <row r="35" spans="1:10">
      <c r="A35" s="6">
        <v>11</v>
      </c>
      <c r="B35" s="1" t="str">
        <f>VLOOKUP(A35,テーブル!$A$3:$B$6,2,0)</f>
        <v>鈴木総業</v>
      </c>
      <c r="C35" s="1">
        <v>102</v>
      </c>
      <c r="D35" s="1" t="str">
        <f>VLOOKUP(C35,テーブル!$D$5:$I$12,2,0)</f>
        <v>Ｑ商品</v>
      </c>
      <c r="E35" s="1">
        <v>10</v>
      </c>
      <c r="F35" s="32">
        <f>IF(E35&lt;10,VLOOKUP(C35,テーブル!$D$5:$I$12,3,0)*E35,VLOOKUP(C35,テーブル!$D$5:$I$12,3,0)*10)</f>
        <v>67200</v>
      </c>
      <c r="G35" s="32">
        <f>ROUND(IF(E35&lt;10,0,VLOOKUP(C35,テーブル!$D$5:$I$12,3,0)*58%*(E35-10)),-1)</f>
        <v>0</v>
      </c>
      <c r="H35" s="1" t="s">
        <v>7</v>
      </c>
      <c r="I35" s="2">
        <f>ROUNDDOWN(INDEX(テーブル!$G$5:$I$12,MATCH(C35,テーブル!$D$5:$D$12,0),MATCH(H35,テーブル!$G$4:$I$4,0))*E35,-2)</f>
        <v>4400</v>
      </c>
      <c r="J35" s="39">
        <f t="shared" si="0"/>
        <v>71600</v>
      </c>
    </row>
    <row r="36" spans="1:10">
      <c r="A36" s="6">
        <v>11</v>
      </c>
      <c r="B36" s="1" t="str">
        <f>VLOOKUP(A36,テーブル!$A$3:$B$6,2,0)</f>
        <v>鈴木総業</v>
      </c>
      <c r="C36" s="1">
        <v>103</v>
      </c>
      <c r="D36" s="1" t="str">
        <f>VLOOKUP(C36,テーブル!$D$5:$I$12,2,0)</f>
        <v>Ｒ商品</v>
      </c>
      <c r="E36" s="1">
        <v>13</v>
      </c>
      <c r="F36" s="32">
        <f>IF(E36&lt;10,VLOOKUP(C36,テーブル!$D$5:$I$12,3,0)*E36,VLOOKUP(C36,テーブル!$D$5:$I$12,3,0)*10)</f>
        <v>62900</v>
      </c>
      <c r="G36" s="32">
        <f>ROUND(IF(E36&lt;10,0,VLOOKUP(C36,テーブル!$D$5:$I$12,3,0)*58%*(E36-10)),-1)</f>
        <v>10940</v>
      </c>
      <c r="H36" s="1" t="s">
        <v>6</v>
      </c>
      <c r="I36" s="2">
        <f>ROUNDDOWN(INDEX(テーブル!$G$5:$I$12,MATCH(C36,テーブル!$D$5:$D$12,0),MATCH(H36,テーブル!$G$4:$I$4,0))*E36,-2)</f>
        <v>5900</v>
      </c>
      <c r="J36" s="39">
        <f t="shared" si="0"/>
        <v>79740</v>
      </c>
    </row>
    <row r="37" spans="1:10">
      <c r="A37" s="6">
        <v>11</v>
      </c>
      <c r="B37" s="1" t="str">
        <f>VLOOKUP(A37,テーブル!$A$3:$B$6,2,0)</f>
        <v>鈴木総業</v>
      </c>
      <c r="C37" s="1">
        <v>104</v>
      </c>
      <c r="D37" s="1" t="str">
        <f>VLOOKUP(C37,テーブル!$D$5:$I$12,2,0)</f>
        <v>Ｓ商品</v>
      </c>
      <c r="E37" s="1">
        <v>7</v>
      </c>
      <c r="F37" s="32">
        <f>IF(E37&lt;10,VLOOKUP(C37,テーブル!$D$5:$I$12,3,0)*E37,VLOOKUP(C37,テーブル!$D$5:$I$12,3,0)*10)</f>
        <v>41370</v>
      </c>
      <c r="G37" s="32">
        <f>ROUND(IF(E37&lt;10,0,VLOOKUP(C37,テーブル!$D$5:$I$12,3,0)*58%*(E37-10)),-1)</f>
        <v>0</v>
      </c>
      <c r="H37" s="1" t="s">
        <v>8</v>
      </c>
      <c r="I37" s="2">
        <f>ROUNDDOWN(INDEX(テーブル!$G$5:$I$12,MATCH(C37,テーブル!$D$5:$D$12,0),MATCH(H37,テーブル!$G$4:$I$4,0))*E37,-2)</f>
        <v>2400</v>
      </c>
      <c r="J37" s="39">
        <f t="shared" si="0"/>
        <v>43770</v>
      </c>
    </row>
    <row r="38" spans="1:10">
      <c r="A38" s="6">
        <v>12</v>
      </c>
      <c r="B38" s="1" t="str">
        <f>VLOOKUP(A38,テーブル!$A$3:$B$6,2,0)</f>
        <v>北陸商事</v>
      </c>
      <c r="C38" s="1">
        <v>101</v>
      </c>
      <c r="D38" s="1" t="str">
        <f>VLOOKUP(C38,テーブル!$D$5:$I$12,2,0)</f>
        <v>Ｐ商品</v>
      </c>
      <c r="E38" s="1">
        <v>11</v>
      </c>
      <c r="F38" s="32">
        <f>IF(E38&lt;10,VLOOKUP(C38,テーブル!$D$5:$I$12,3,0)*E38,VLOOKUP(C38,テーブル!$D$5:$I$12,3,0)*10)</f>
        <v>73500</v>
      </c>
      <c r="G38" s="32">
        <f>ROUND(IF(E38&lt;10,0,VLOOKUP(C38,テーブル!$D$5:$I$12,3,0)*58%*(E38-10)),-1)</f>
        <v>4260</v>
      </c>
      <c r="H38" s="1" t="s">
        <v>6</v>
      </c>
      <c r="I38" s="2">
        <f>ROUNDDOWN(INDEX(テーブル!$G$5:$I$12,MATCH(C38,テーブル!$D$5:$D$12,0),MATCH(H38,テーブル!$G$4:$I$4,0))*E38,-2)</f>
        <v>5800</v>
      </c>
      <c r="J38" s="39">
        <f t="shared" si="0"/>
        <v>83560</v>
      </c>
    </row>
    <row r="39" spans="1:10">
      <c r="A39" s="6">
        <v>12</v>
      </c>
      <c r="B39" s="1" t="str">
        <f>VLOOKUP(A39,テーブル!$A$3:$B$6,2,0)</f>
        <v>北陸商事</v>
      </c>
      <c r="C39" s="1">
        <v>102</v>
      </c>
      <c r="D39" s="1" t="str">
        <f>VLOOKUP(C39,テーブル!$D$5:$I$12,2,0)</f>
        <v>Ｑ商品</v>
      </c>
      <c r="E39" s="1">
        <v>13</v>
      </c>
      <c r="F39" s="32">
        <f>IF(E39&lt;10,VLOOKUP(C39,テーブル!$D$5:$I$12,3,0)*E39,VLOOKUP(C39,テーブル!$D$5:$I$12,3,0)*10)</f>
        <v>67200</v>
      </c>
      <c r="G39" s="32">
        <f>ROUND(IF(E39&lt;10,0,VLOOKUP(C39,テーブル!$D$5:$I$12,3,0)*58%*(E39-10)),-1)</f>
        <v>11690</v>
      </c>
      <c r="H39" s="1" t="s">
        <v>8</v>
      </c>
      <c r="I39" s="2">
        <f>ROUNDDOWN(INDEX(テーブル!$G$5:$I$12,MATCH(C39,テーブル!$D$5:$D$12,0),MATCH(H39,テーブル!$G$4:$I$4,0))*E39,-2)</f>
        <v>5000</v>
      </c>
      <c r="J39" s="39">
        <f t="shared" si="0"/>
        <v>83890</v>
      </c>
    </row>
    <row r="40" spans="1:10">
      <c r="A40" s="6">
        <v>12</v>
      </c>
      <c r="B40" s="1" t="str">
        <f>VLOOKUP(A40,テーブル!$A$3:$B$6,2,0)</f>
        <v>北陸商事</v>
      </c>
      <c r="C40" s="1">
        <v>103</v>
      </c>
      <c r="D40" s="1" t="str">
        <f>VLOOKUP(C40,テーブル!$D$5:$I$12,2,0)</f>
        <v>Ｒ商品</v>
      </c>
      <c r="E40" s="1">
        <v>11</v>
      </c>
      <c r="F40" s="32">
        <f>IF(E40&lt;10,VLOOKUP(C40,テーブル!$D$5:$I$12,3,0)*E40,VLOOKUP(C40,テーブル!$D$5:$I$12,3,0)*10)</f>
        <v>62900</v>
      </c>
      <c r="G40" s="32">
        <f>ROUND(IF(E40&lt;10,0,VLOOKUP(C40,テーブル!$D$5:$I$12,3,0)*58%*(E40-10)),-1)</f>
        <v>3650</v>
      </c>
      <c r="H40" s="1" t="s">
        <v>6</v>
      </c>
      <c r="I40" s="2">
        <f>ROUNDDOWN(INDEX(テーブル!$G$5:$I$12,MATCH(C40,テーブル!$D$5:$D$12,0),MATCH(H40,テーブル!$G$4:$I$4,0))*E40,-2)</f>
        <v>5000</v>
      </c>
      <c r="J40" s="39">
        <f t="shared" si="0"/>
        <v>71550</v>
      </c>
    </row>
    <row r="41" spans="1:10">
      <c r="A41" s="6">
        <v>12</v>
      </c>
      <c r="B41" s="1" t="str">
        <f>VLOOKUP(A41,テーブル!$A$3:$B$6,2,0)</f>
        <v>北陸商事</v>
      </c>
      <c r="C41" s="1">
        <v>104</v>
      </c>
      <c r="D41" s="1" t="str">
        <f>VLOOKUP(C41,テーブル!$D$5:$I$12,2,0)</f>
        <v>Ｓ商品</v>
      </c>
      <c r="E41" s="1">
        <v>14</v>
      </c>
      <c r="F41" s="32">
        <f>IF(E41&lt;10,VLOOKUP(C41,テーブル!$D$5:$I$12,3,0)*E41,VLOOKUP(C41,テーブル!$D$5:$I$12,3,0)*10)</f>
        <v>59100</v>
      </c>
      <c r="G41" s="32">
        <f>ROUND(IF(E41&lt;10,0,VLOOKUP(C41,テーブル!$D$5:$I$12,3,0)*58%*(E41-10)),-1)</f>
        <v>13710</v>
      </c>
      <c r="H41" s="1" t="s">
        <v>7</v>
      </c>
      <c r="I41" s="2">
        <f>ROUNDDOWN(INDEX(テーブル!$G$5:$I$12,MATCH(C41,テーブル!$D$5:$D$12,0),MATCH(H41,テーブル!$G$4:$I$4,0))*E41,-2)</f>
        <v>5400</v>
      </c>
      <c r="J41" s="39">
        <f t="shared" si="0"/>
        <v>78210</v>
      </c>
    </row>
    <row r="42" spans="1:10">
      <c r="A42" s="6">
        <v>13</v>
      </c>
      <c r="B42" s="1" t="str">
        <f>VLOOKUP(A42,テーブル!$A$3:$B$6,2,0)</f>
        <v>ＮＹ物産</v>
      </c>
      <c r="C42" s="1">
        <v>101</v>
      </c>
      <c r="D42" s="1" t="str">
        <f>VLOOKUP(C42,テーブル!$D$5:$I$12,2,0)</f>
        <v>Ｐ商品</v>
      </c>
      <c r="E42" s="1">
        <v>10</v>
      </c>
      <c r="F42" s="32">
        <f>IF(E42&lt;10,VLOOKUP(C42,テーブル!$D$5:$I$12,3,0)*E42,VLOOKUP(C42,テーブル!$D$5:$I$12,3,0)*10)</f>
        <v>73500</v>
      </c>
      <c r="G42" s="32">
        <f>ROUND(IF(E42&lt;10,0,VLOOKUP(C42,テーブル!$D$5:$I$12,3,0)*58%*(E42-10)),-1)</f>
        <v>0</v>
      </c>
      <c r="H42" s="1" t="s">
        <v>7</v>
      </c>
      <c r="I42" s="2">
        <f>ROUNDDOWN(INDEX(テーブル!$G$5:$I$12,MATCH(C42,テーブル!$D$5:$D$12,0),MATCH(H42,テーブル!$G$4:$I$4,0))*E42,-2)</f>
        <v>4800</v>
      </c>
      <c r="J42" s="39">
        <f t="shared" si="0"/>
        <v>78300</v>
      </c>
    </row>
    <row r="43" spans="1:10">
      <c r="A43" s="6">
        <v>13</v>
      </c>
      <c r="B43" s="1" t="str">
        <f>VLOOKUP(A43,テーブル!$A$3:$B$6,2,0)</f>
        <v>ＮＹ物産</v>
      </c>
      <c r="C43" s="1">
        <v>102</v>
      </c>
      <c r="D43" s="1" t="str">
        <f>VLOOKUP(C43,テーブル!$D$5:$I$12,2,0)</f>
        <v>Ｑ商品</v>
      </c>
      <c r="E43" s="1">
        <v>8</v>
      </c>
      <c r="F43" s="32">
        <f>IF(E43&lt;10,VLOOKUP(C43,テーブル!$D$5:$I$12,3,0)*E43,VLOOKUP(C43,テーブル!$D$5:$I$12,3,0)*10)</f>
        <v>53760</v>
      </c>
      <c r="G43" s="32">
        <f>ROUND(IF(E43&lt;10,0,VLOOKUP(C43,テーブル!$D$5:$I$12,3,0)*58%*(E43-10)),-1)</f>
        <v>0</v>
      </c>
      <c r="H43" s="1" t="s">
        <v>6</v>
      </c>
      <c r="I43" s="2">
        <f>ROUNDDOWN(INDEX(テーブル!$G$5:$I$12,MATCH(C43,テーブル!$D$5:$D$12,0),MATCH(H43,テーブル!$G$4:$I$4,0))*E43,-2)</f>
        <v>3900</v>
      </c>
      <c r="J43" s="39">
        <f t="shared" si="0"/>
        <v>57660</v>
      </c>
    </row>
    <row r="44" spans="1:10">
      <c r="A44" s="6">
        <v>13</v>
      </c>
      <c r="B44" s="1" t="str">
        <f>VLOOKUP(A44,テーブル!$A$3:$B$6,2,0)</f>
        <v>ＮＹ物産</v>
      </c>
      <c r="C44" s="1">
        <v>103</v>
      </c>
      <c r="D44" s="1" t="str">
        <f>VLOOKUP(C44,テーブル!$D$5:$I$12,2,0)</f>
        <v>Ｒ商品</v>
      </c>
      <c r="E44" s="1">
        <v>6</v>
      </c>
      <c r="F44" s="32">
        <f>IF(E44&lt;10,VLOOKUP(C44,テーブル!$D$5:$I$12,3,0)*E44,VLOOKUP(C44,テーブル!$D$5:$I$12,3,0)*10)</f>
        <v>37740</v>
      </c>
      <c r="G44" s="32">
        <f>ROUND(IF(E44&lt;10,0,VLOOKUP(C44,テーブル!$D$5:$I$12,3,0)*58%*(E44-10)),-1)</f>
        <v>0</v>
      </c>
      <c r="H44" s="1" t="s">
        <v>6</v>
      </c>
      <c r="I44" s="2">
        <f>ROUNDDOWN(INDEX(テーブル!$G$5:$I$12,MATCH(C44,テーブル!$D$5:$D$12,0),MATCH(H44,テーブル!$G$4:$I$4,0))*E44,-2)</f>
        <v>2700</v>
      </c>
      <c r="J44" s="39">
        <f t="shared" si="0"/>
        <v>40440</v>
      </c>
    </row>
    <row r="45" spans="1:10">
      <c r="A45" s="6">
        <v>13</v>
      </c>
      <c r="B45" s="1" t="str">
        <f>VLOOKUP(A45,テーブル!$A$3:$B$6,2,0)</f>
        <v>ＮＹ物産</v>
      </c>
      <c r="C45" s="1">
        <v>104</v>
      </c>
      <c r="D45" s="1" t="str">
        <f>VLOOKUP(C45,テーブル!$D$5:$I$12,2,0)</f>
        <v>Ｓ商品</v>
      </c>
      <c r="E45" s="1">
        <v>17</v>
      </c>
      <c r="F45" s="32">
        <f>IF(E45&lt;10,VLOOKUP(C45,テーブル!$D$5:$I$12,3,0)*E45,VLOOKUP(C45,テーブル!$D$5:$I$12,3,0)*10)</f>
        <v>59100</v>
      </c>
      <c r="G45" s="32">
        <f>ROUND(IF(E45&lt;10,0,VLOOKUP(C45,テーブル!$D$5:$I$12,3,0)*58%*(E45-10)),-1)</f>
        <v>23990</v>
      </c>
      <c r="H45" s="1" t="s">
        <v>8</v>
      </c>
      <c r="I45" s="2">
        <f>ROUNDDOWN(INDEX(テーブル!$G$5:$I$12,MATCH(C45,テーブル!$D$5:$D$12,0),MATCH(H45,テーブル!$G$4:$I$4,0))*E45,-2)</f>
        <v>5900</v>
      </c>
      <c r="J45" s="39">
        <f t="shared" si="0"/>
        <v>88990</v>
      </c>
    </row>
    <row r="46" spans="1:10">
      <c r="A46" s="6">
        <v>14</v>
      </c>
      <c r="B46" s="1" t="str">
        <f>VLOOKUP(A46,テーブル!$A$3:$B$6,2,0)</f>
        <v>井上企画</v>
      </c>
      <c r="C46" s="1">
        <v>101</v>
      </c>
      <c r="D46" s="1" t="str">
        <f>VLOOKUP(C46,テーブル!$D$5:$I$12,2,0)</f>
        <v>Ｐ商品</v>
      </c>
      <c r="E46" s="1">
        <v>8</v>
      </c>
      <c r="F46" s="32">
        <f>IF(E46&lt;10,VLOOKUP(C46,テーブル!$D$5:$I$12,3,0)*E46,VLOOKUP(C46,テーブル!$D$5:$I$12,3,0)*10)</f>
        <v>58800</v>
      </c>
      <c r="G46" s="32">
        <f>ROUND(IF(E46&lt;10,0,VLOOKUP(C46,テーブル!$D$5:$I$12,3,0)*58%*(E46-10)),-1)</f>
        <v>0</v>
      </c>
      <c r="H46" s="1" t="s">
        <v>8</v>
      </c>
      <c r="I46" s="2">
        <f>ROUNDDOWN(INDEX(テーブル!$G$5:$I$12,MATCH(C46,テーブル!$D$5:$D$12,0),MATCH(H46,テーブル!$G$4:$I$4,0))*E46,-2)</f>
        <v>3400</v>
      </c>
      <c r="J46" s="39">
        <f t="shared" si="0"/>
        <v>62200</v>
      </c>
    </row>
    <row r="47" spans="1:10">
      <c r="A47" s="6">
        <v>14</v>
      </c>
      <c r="B47" s="1" t="str">
        <f>VLOOKUP(A47,テーブル!$A$3:$B$6,2,0)</f>
        <v>井上企画</v>
      </c>
      <c r="C47" s="1">
        <v>102</v>
      </c>
      <c r="D47" s="1" t="str">
        <f>VLOOKUP(C47,テーブル!$D$5:$I$12,2,0)</f>
        <v>Ｑ商品</v>
      </c>
      <c r="E47" s="1">
        <v>13</v>
      </c>
      <c r="F47" s="32">
        <f>IF(E47&lt;10,VLOOKUP(C47,テーブル!$D$5:$I$12,3,0)*E47,VLOOKUP(C47,テーブル!$D$5:$I$12,3,0)*10)</f>
        <v>67200</v>
      </c>
      <c r="G47" s="32">
        <f>ROUND(IF(E47&lt;10,0,VLOOKUP(C47,テーブル!$D$5:$I$12,3,0)*58%*(E47-10)),-1)</f>
        <v>11690</v>
      </c>
      <c r="H47" s="1" t="s">
        <v>6</v>
      </c>
      <c r="I47" s="2">
        <f>ROUNDDOWN(INDEX(テーブル!$G$5:$I$12,MATCH(C47,テーブル!$D$5:$D$12,0),MATCH(H47,テーブル!$G$4:$I$4,0))*E47,-2)</f>
        <v>6300</v>
      </c>
      <c r="J47" s="39">
        <f t="shared" si="0"/>
        <v>85190</v>
      </c>
    </row>
    <row r="48" spans="1:10">
      <c r="A48" s="6">
        <v>14</v>
      </c>
      <c r="B48" s="1" t="str">
        <f>VLOOKUP(A48,テーブル!$A$3:$B$6,2,0)</f>
        <v>井上企画</v>
      </c>
      <c r="C48" s="1">
        <v>103</v>
      </c>
      <c r="D48" s="1" t="str">
        <f>VLOOKUP(C48,テーブル!$D$5:$I$12,2,0)</f>
        <v>Ｒ商品</v>
      </c>
      <c r="E48" s="1">
        <v>14</v>
      </c>
      <c r="F48" s="32">
        <f>IF(E48&lt;10,VLOOKUP(C48,テーブル!$D$5:$I$12,3,0)*E48,VLOOKUP(C48,テーブル!$D$5:$I$12,3,0)*10)</f>
        <v>62900</v>
      </c>
      <c r="G48" s="32">
        <f>ROUND(IF(E48&lt;10,0,VLOOKUP(C48,テーブル!$D$5:$I$12,3,0)*58%*(E48-10)),-1)</f>
        <v>14590</v>
      </c>
      <c r="H48" s="1" t="s">
        <v>6</v>
      </c>
      <c r="I48" s="2">
        <f>ROUNDDOWN(INDEX(テーブル!$G$5:$I$12,MATCH(C48,テーブル!$D$5:$D$12,0),MATCH(H48,テーブル!$G$4:$I$4,0))*E48,-2)</f>
        <v>6400</v>
      </c>
      <c r="J48" s="39">
        <f t="shared" si="0"/>
        <v>83890</v>
      </c>
    </row>
    <row r="49" spans="1:10">
      <c r="A49" s="6">
        <v>14</v>
      </c>
      <c r="B49" s="1" t="str">
        <f>VLOOKUP(A49,テーブル!$A$3:$B$6,2,0)</f>
        <v>井上企画</v>
      </c>
      <c r="C49" s="1">
        <v>104</v>
      </c>
      <c r="D49" s="1" t="str">
        <f>VLOOKUP(C49,テーブル!$D$5:$I$12,2,0)</f>
        <v>Ｓ商品</v>
      </c>
      <c r="E49" s="1">
        <v>9</v>
      </c>
      <c r="F49" s="32">
        <f>IF(E49&lt;10,VLOOKUP(C49,テーブル!$D$5:$I$12,3,0)*E49,VLOOKUP(C49,テーブル!$D$5:$I$12,3,0)*10)</f>
        <v>53190</v>
      </c>
      <c r="G49" s="32">
        <f>ROUND(IF(E49&lt;10,0,VLOOKUP(C49,テーブル!$D$5:$I$12,3,0)*58%*(E49-10)),-1)</f>
        <v>0</v>
      </c>
      <c r="H49" s="1" t="s">
        <v>7</v>
      </c>
      <c r="I49" s="2">
        <f>ROUNDDOWN(INDEX(テーブル!$G$5:$I$12,MATCH(C49,テーブル!$D$5:$D$12,0),MATCH(H49,テーブル!$G$4:$I$4,0))*E49,-2)</f>
        <v>3500</v>
      </c>
      <c r="J49" s="39">
        <f t="shared" si="0"/>
        <v>56690</v>
      </c>
    </row>
    <row r="50" spans="1:10">
      <c r="A50" s="6">
        <v>11</v>
      </c>
      <c r="B50" s="1" t="str">
        <f>VLOOKUP(A50,テーブル!$A$3:$B$6,2,0)</f>
        <v>鈴木総業</v>
      </c>
      <c r="C50" s="1">
        <v>105</v>
      </c>
      <c r="D50" s="1" t="str">
        <f>VLOOKUP(C50,テーブル!$D$5:$I$12,2,0)</f>
        <v>Ｔ商品</v>
      </c>
      <c r="E50" s="1">
        <v>10</v>
      </c>
      <c r="F50" s="32">
        <f>IF(E50&lt;10,VLOOKUP(C50,テーブル!$D$5:$I$12,3,0)*E50,VLOOKUP(C50,テーブル!$D$5:$I$12,3,0)*10)</f>
        <v>53400</v>
      </c>
      <c r="G50" s="32">
        <f>ROUND(IF(E50&lt;10,0,VLOOKUP(C50,テーブル!$D$5:$I$12,3,0)*58%*(E50-10)),-1)</f>
        <v>0</v>
      </c>
      <c r="H50" s="1" t="s">
        <v>7</v>
      </c>
      <c r="I50" s="2">
        <f>ROUNDDOWN(INDEX(テーブル!$G$5:$I$12,MATCH(C50,テーブル!$D$5:$D$12,0),MATCH(H50,テーブル!$G$4:$I$4,0))*E50,-2)</f>
        <v>3500</v>
      </c>
      <c r="J50" s="39">
        <f t="shared" si="0"/>
        <v>56900</v>
      </c>
    </row>
    <row r="51" spans="1:10">
      <c r="A51" s="6">
        <v>11</v>
      </c>
      <c r="B51" s="1" t="str">
        <f>VLOOKUP(A51,テーブル!$A$3:$B$6,2,0)</f>
        <v>鈴木総業</v>
      </c>
      <c r="C51" s="1">
        <v>106</v>
      </c>
      <c r="D51" s="1" t="str">
        <f>VLOOKUP(C51,テーブル!$D$5:$I$12,2,0)</f>
        <v>Ｕ商品</v>
      </c>
      <c r="E51" s="1">
        <v>11</v>
      </c>
      <c r="F51" s="32">
        <f>IF(E51&lt;10,VLOOKUP(C51,テーブル!$D$5:$I$12,3,0)*E51,VLOOKUP(C51,テーブル!$D$5:$I$12,3,0)*10)</f>
        <v>49700</v>
      </c>
      <c r="G51" s="32">
        <f>ROUND(IF(E51&lt;10,0,VLOOKUP(C51,テーブル!$D$5:$I$12,3,0)*58%*(E51-10)),-1)</f>
        <v>2880</v>
      </c>
      <c r="H51" s="1" t="s">
        <v>8</v>
      </c>
      <c r="I51" s="2">
        <f>ROUNDDOWN(INDEX(テーブル!$G$5:$I$12,MATCH(C51,テーブル!$D$5:$D$12,0),MATCH(H51,テーブル!$G$4:$I$4,0))*E51,-2)</f>
        <v>3100</v>
      </c>
      <c r="J51" s="39">
        <f t="shared" si="0"/>
        <v>55680</v>
      </c>
    </row>
    <row r="52" spans="1:10">
      <c r="A52" s="6">
        <v>11</v>
      </c>
      <c r="B52" s="1" t="str">
        <f>VLOOKUP(A52,テーブル!$A$3:$B$6,2,0)</f>
        <v>鈴木総業</v>
      </c>
      <c r="C52" s="1">
        <v>107</v>
      </c>
      <c r="D52" s="1" t="str">
        <f>VLOOKUP(C52,テーブル!$D$5:$I$12,2,0)</f>
        <v>Ｖ商品</v>
      </c>
      <c r="E52" s="1">
        <v>6</v>
      </c>
      <c r="F52" s="32">
        <f>IF(E52&lt;10,VLOOKUP(C52,テーブル!$D$5:$I$12,3,0)*E52,VLOOKUP(C52,テーブル!$D$5:$I$12,3,0)*10)</f>
        <v>27780</v>
      </c>
      <c r="G52" s="32">
        <f>ROUND(IF(E52&lt;10,0,VLOOKUP(C52,テーブル!$D$5:$I$12,3,0)*58%*(E52-10)),-1)</f>
        <v>0</v>
      </c>
      <c r="H52" s="1" t="s">
        <v>7</v>
      </c>
      <c r="I52" s="2">
        <f>ROUNDDOWN(INDEX(テーブル!$G$5:$I$12,MATCH(C52,テーブル!$D$5:$D$12,0),MATCH(H52,テーブル!$G$4:$I$4,0))*E52,-2)</f>
        <v>1800</v>
      </c>
      <c r="J52" s="39">
        <f t="shared" si="0"/>
        <v>29580</v>
      </c>
    </row>
    <row r="53" spans="1:10">
      <c r="A53" s="6">
        <v>11</v>
      </c>
      <c r="B53" s="1" t="str">
        <f>VLOOKUP(A53,テーブル!$A$3:$B$6,2,0)</f>
        <v>鈴木総業</v>
      </c>
      <c r="C53" s="1">
        <v>108</v>
      </c>
      <c r="D53" s="1" t="str">
        <f>VLOOKUP(C53,テーブル!$D$5:$I$12,2,0)</f>
        <v>Ｗ商品</v>
      </c>
      <c r="E53" s="1">
        <v>10</v>
      </c>
      <c r="F53" s="32">
        <f>IF(E53&lt;10,VLOOKUP(C53,テーブル!$D$5:$I$12,3,0)*E53,VLOOKUP(C53,テーブル!$D$5:$I$12,3,0)*10)</f>
        <v>40800</v>
      </c>
      <c r="G53" s="32">
        <f>ROUND(IF(E53&lt;10,0,VLOOKUP(C53,テーブル!$D$5:$I$12,3,0)*58%*(E53-10)),-1)</f>
        <v>0</v>
      </c>
      <c r="H53" s="1" t="s">
        <v>6</v>
      </c>
      <c r="I53" s="2">
        <f>ROUNDDOWN(INDEX(テーブル!$G$5:$I$12,MATCH(C53,テーブル!$D$5:$D$12,0),MATCH(H53,テーブル!$G$4:$I$4,0))*E53,-2)</f>
        <v>3000</v>
      </c>
      <c r="J53" s="39">
        <f t="shared" si="0"/>
        <v>43800</v>
      </c>
    </row>
    <row r="54" spans="1:10">
      <c r="A54" s="6">
        <v>12</v>
      </c>
      <c r="B54" s="1" t="str">
        <f>VLOOKUP(A54,テーブル!$A$3:$B$6,2,0)</f>
        <v>北陸商事</v>
      </c>
      <c r="C54" s="1">
        <v>105</v>
      </c>
      <c r="D54" s="1" t="str">
        <f>VLOOKUP(C54,テーブル!$D$5:$I$12,2,0)</f>
        <v>Ｔ商品</v>
      </c>
      <c r="E54" s="1">
        <v>7</v>
      </c>
      <c r="F54" s="32">
        <f>IF(E54&lt;10,VLOOKUP(C54,テーブル!$D$5:$I$12,3,0)*E54,VLOOKUP(C54,テーブル!$D$5:$I$12,3,0)*10)</f>
        <v>37380</v>
      </c>
      <c r="G54" s="32">
        <f>ROUND(IF(E54&lt;10,0,VLOOKUP(C54,テーブル!$D$5:$I$12,3,0)*58%*(E54-10)),-1)</f>
        <v>0</v>
      </c>
      <c r="H54" s="1" t="s">
        <v>7</v>
      </c>
      <c r="I54" s="2">
        <f>ROUNDDOWN(INDEX(テーブル!$G$5:$I$12,MATCH(C54,テーブル!$D$5:$D$12,0),MATCH(H54,テーブル!$G$4:$I$4,0))*E54,-2)</f>
        <v>2400</v>
      </c>
      <c r="J54" s="39">
        <f t="shared" si="0"/>
        <v>39780</v>
      </c>
    </row>
    <row r="55" spans="1:10">
      <c r="A55" s="6">
        <v>12</v>
      </c>
      <c r="B55" s="1" t="str">
        <f>VLOOKUP(A55,テーブル!$A$3:$B$6,2,0)</f>
        <v>北陸商事</v>
      </c>
      <c r="C55" s="1">
        <v>106</v>
      </c>
      <c r="D55" s="1" t="str">
        <f>VLOOKUP(C55,テーブル!$D$5:$I$12,2,0)</f>
        <v>Ｕ商品</v>
      </c>
      <c r="E55" s="1">
        <v>12</v>
      </c>
      <c r="F55" s="32">
        <f>IF(E55&lt;10,VLOOKUP(C55,テーブル!$D$5:$I$12,3,0)*E55,VLOOKUP(C55,テーブル!$D$5:$I$12,3,0)*10)</f>
        <v>49700</v>
      </c>
      <c r="G55" s="32">
        <f>ROUND(IF(E55&lt;10,0,VLOOKUP(C55,テーブル!$D$5:$I$12,3,0)*58%*(E55-10)),-1)</f>
        <v>5770</v>
      </c>
      <c r="H55" s="1" t="s">
        <v>8</v>
      </c>
      <c r="I55" s="2">
        <f>ROUNDDOWN(INDEX(テーブル!$G$5:$I$12,MATCH(C55,テーブル!$D$5:$D$12,0),MATCH(H55,テーブル!$G$4:$I$4,0))*E55,-2)</f>
        <v>3400</v>
      </c>
      <c r="J55" s="39">
        <f t="shared" si="0"/>
        <v>58870</v>
      </c>
    </row>
    <row r="56" spans="1:10">
      <c r="A56" s="6">
        <v>12</v>
      </c>
      <c r="B56" s="1" t="str">
        <f>VLOOKUP(A56,テーブル!$A$3:$B$6,2,0)</f>
        <v>北陸商事</v>
      </c>
      <c r="C56" s="1">
        <v>107</v>
      </c>
      <c r="D56" s="1" t="str">
        <f>VLOOKUP(C56,テーブル!$D$5:$I$12,2,0)</f>
        <v>Ｖ商品</v>
      </c>
      <c r="E56" s="1">
        <v>9</v>
      </c>
      <c r="F56" s="32">
        <f>IF(E56&lt;10,VLOOKUP(C56,テーブル!$D$5:$I$12,3,0)*E56,VLOOKUP(C56,テーブル!$D$5:$I$12,3,0)*10)</f>
        <v>41670</v>
      </c>
      <c r="G56" s="32">
        <f>ROUND(IF(E56&lt;10,0,VLOOKUP(C56,テーブル!$D$5:$I$12,3,0)*58%*(E56-10)),-1)</f>
        <v>0</v>
      </c>
      <c r="H56" s="1" t="s">
        <v>6</v>
      </c>
      <c r="I56" s="2">
        <f>ROUNDDOWN(INDEX(テーブル!$G$5:$I$12,MATCH(C56,テーブル!$D$5:$D$12,0),MATCH(H56,テーブル!$G$4:$I$4,0))*E56,-2)</f>
        <v>3000</v>
      </c>
      <c r="J56" s="39">
        <f t="shared" si="0"/>
        <v>44670</v>
      </c>
    </row>
    <row r="57" spans="1:10">
      <c r="A57" s="6">
        <v>12</v>
      </c>
      <c r="B57" s="1" t="str">
        <f>VLOOKUP(A57,テーブル!$A$3:$B$6,2,0)</f>
        <v>北陸商事</v>
      </c>
      <c r="C57" s="1">
        <v>108</v>
      </c>
      <c r="D57" s="1" t="str">
        <f>VLOOKUP(C57,テーブル!$D$5:$I$12,2,0)</f>
        <v>Ｗ商品</v>
      </c>
      <c r="E57" s="1">
        <v>16</v>
      </c>
      <c r="F57" s="32">
        <f>IF(E57&lt;10,VLOOKUP(C57,テーブル!$D$5:$I$12,3,0)*E57,VLOOKUP(C57,テーブル!$D$5:$I$12,3,0)*10)</f>
        <v>40800</v>
      </c>
      <c r="G57" s="32">
        <f>ROUND(IF(E57&lt;10,0,VLOOKUP(C57,テーブル!$D$5:$I$12,3,0)*58%*(E57-10)),-1)</f>
        <v>14200</v>
      </c>
      <c r="H57" s="1" t="s">
        <v>7</v>
      </c>
      <c r="I57" s="2">
        <f>ROUNDDOWN(INDEX(テーブル!$G$5:$I$12,MATCH(C57,テーブル!$D$5:$D$12,0),MATCH(H57,テーブル!$G$4:$I$4,0))*E57,-2)</f>
        <v>4300</v>
      </c>
      <c r="J57" s="39">
        <f t="shared" si="0"/>
        <v>59300</v>
      </c>
    </row>
    <row r="58" spans="1:10">
      <c r="A58" s="6">
        <v>13</v>
      </c>
      <c r="B58" s="1" t="str">
        <f>VLOOKUP(A58,テーブル!$A$3:$B$6,2,0)</f>
        <v>ＮＹ物産</v>
      </c>
      <c r="C58" s="1">
        <v>105</v>
      </c>
      <c r="D58" s="1" t="str">
        <f>VLOOKUP(C58,テーブル!$D$5:$I$12,2,0)</f>
        <v>Ｔ商品</v>
      </c>
      <c r="E58" s="1">
        <v>15</v>
      </c>
      <c r="F58" s="32">
        <f>IF(E58&lt;10,VLOOKUP(C58,テーブル!$D$5:$I$12,3,0)*E58,VLOOKUP(C58,テーブル!$D$5:$I$12,3,0)*10)</f>
        <v>53400</v>
      </c>
      <c r="G58" s="32">
        <f>ROUND(IF(E58&lt;10,0,VLOOKUP(C58,テーブル!$D$5:$I$12,3,0)*58%*(E58-10)),-1)</f>
        <v>15490</v>
      </c>
      <c r="H58" s="1" t="s">
        <v>7</v>
      </c>
      <c r="I58" s="2">
        <f>ROUNDDOWN(INDEX(テーブル!$G$5:$I$12,MATCH(C58,テーブル!$D$5:$D$12,0),MATCH(H58,テーブル!$G$4:$I$4,0))*E58,-2)</f>
        <v>5200</v>
      </c>
      <c r="J58" s="39">
        <f t="shared" si="0"/>
        <v>74090</v>
      </c>
    </row>
    <row r="59" spans="1:10">
      <c r="A59" s="6">
        <v>13</v>
      </c>
      <c r="B59" s="1" t="str">
        <f>VLOOKUP(A59,テーブル!$A$3:$B$6,2,0)</f>
        <v>ＮＹ物産</v>
      </c>
      <c r="C59" s="1">
        <v>106</v>
      </c>
      <c r="D59" s="1" t="str">
        <f>VLOOKUP(C59,テーブル!$D$5:$I$12,2,0)</f>
        <v>Ｕ商品</v>
      </c>
      <c r="E59" s="1">
        <v>14</v>
      </c>
      <c r="F59" s="32">
        <f>IF(E59&lt;10,VLOOKUP(C59,テーブル!$D$5:$I$12,3,0)*E59,VLOOKUP(C59,テーブル!$D$5:$I$12,3,0)*10)</f>
        <v>49700</v>
      </c>
      <c r="G59" s="32">
        <f>ROUND(IF(E59&lt;10,0,VLOOKUP(C59,テーブル!$D$5:$I$12,3,0)*58%*(E59-10)),-1)</f>
        <v>11530</v>
      </c>
      <c r="H59" s="1" t="s">
        <v>8</v>
      </c>
      <c r="I59" s="2">
        <f>ROUNDDOWN(INDEX(テーブル!$G$5:$I$12,MATCH(C59,テーブル!$D$5:$D$12,0),MATCH(H59,テーブル!$G$4:$I$4,0))*E59,-2)</f>
        <v>4000</v>
      </c>
      <c r="J59" s="39">
        <f t="shared" si="0"/>
        <v>65230</v>
      </c>
    </row>
    <row r="60" spans="1:10">
      <c r="A60" s="6">
        <v>13</v>
      </c>
      <c r="B60" s="1" t="str">
        <f>VLOOKUP(A60,テーブル!$A$3:$B$6,2,0)</f>
        <v>ＮＹ物産</v>
      </c>
      <c r="C60" s="1">
        <v>107</v>
      </c>
      <c r="D60" s="1" t="str">
        <f>VLOOKUP(C60,テーブル!$D$5:$I$12,2,0)</f>
        <v>Ｖ商品</v>
      </c>
      <c r="E60" s="1">
        <v>11</v>
      </c>
      <c r="F60" s="32">
        <f>IF(E60&lt;10,VLOOKUP(C60,テーブル!$D$5:$I$12,3,0)*E60,VLOOKUP(C60,テーブル!$D$5:$I$12,3,0)*10)</f>
        <v>46300</v>
      </c>
      <c r="G60" s="32">
        <f>ROUND(IF(E60&lt;10,0,VLOOKUP(C60,テーブル!$D$5:$I$12,3,0)*58%*(E60-10)),-1)</f>
        <v>2690</v>
      </c>
      <c r="H60" s="1" t="s">
        <v>6</v>
      </c>
      <c r="I60" s="2">
        <f>ROUNDDOWN(INDEX(テーブル!$G$5:$I$12,MATCH(C60,テーブル!$D$5:$D$12,0),MATCH(H60,テーブル!$G$4:$I$4,0))*E60,-2)</f>
        <v>3700</v>
      </c>
      <c r="J60" s="39">
        <f t="shared" si="0"/>
        <v>52690</v>
      </c>
    </row>
    <row r="61" spans="1:10">
      <c r="A61" s="6">
        <v>13</v>
      </c>
      <c r="B61" s="1" t="str">
        <f>VLOOKUP(A61,テーブル!$A$3:$B$6,2,0)</f>
        <v>ＮＹ物産</v>
      </c>
      <c r="C61" s="1">
        <v>108</v>
      </c>
      <c r="D61" s="1" t="str">
        <f>VLOOKUP(C61,テーブル!$D$5:$I$12,2,0)</f>
        <v>Ｗ商品</v>
      </c>
      <c r="E61" s="1">
        <v>7</v>
      </c>
      <c r="F61" s="32">
        <f>IF(E61&lt;10,VLOOKUP(C61,テーブル!$D$5:$I$12,3,0)*E61,VLOOKUP(C61,テーブル!$D$5:$I$12,3,0)*10)</f>
        <v>28560</v>
      </c>
      <c r="G61" s="32">
        <f>ROUND(IF(E61&lt;10,0,VLOOKUP(C61,テーブル!$D$5:$I$12,3,0)*58%*(E61-10)),-1)</f>
        <v>0</v>
      </c>
      <c r="H61" s="1" t="s">
        <v>8</v>
      </c>
      <c r="I61" s="2">
        <f>ROUNDDOWN(INDEX(テーブル!$G$5:$I$12,MATCH(C61,テーブル!$D$5:$D$12,0),MATCH(H61,テーブル!$G$4:$I$4,0))*E61,-2)</f>
        <v>1600</v>
      </c>
      <c r="J61" s="39">
        <f t="shared" si="0"/>
        <v>30160</v>
      </c>
    </row>
    <row r="62" spans="1:10">
      <c r="A62" s="6">
        <v>14</v>
      </c>
      <c r="B62" s="1" t="str">
        <f>VLOOKUP(A62,テーブル!$A$3:$B$6,2,0)</f>
        <v>井上企画</v>
      </c>
      <c r="C62" s="1">
        <v>105</v>
      </c>
      <c r="D62" s="1" t="str">
        <f>VLOOKUP(C62,テーブル!$D$5:$I$12,2,0)</f>
        <v>Ｔ商品</v>
      </c>
      <c r="E62" s="1">
        <v>8</v>
      </c>
      <c r="F62" s="32">
        <f>IF(E62&lt;10,VLOOKUP(C62,テーブル!$D$5:$I$12,3,0)*E62,VLOOKUP(C62,テーブル!$D$5:$I$12,3,0)*10)</f>
        <v>42720</v>
      </c>
      <c r="G62" s="32">
        <f>ROUND(IF(E62&lt;10,0,VLOOKUP(C62,テーブル!$D$5:$I$12,3,0)*58%*(E62-10)),-1)</f>
        <v>0</v>
      </c>
      <c r="H62" s="1" t="s">
        <v>7</v>
      </c>
      <c r="I62" s="2">
        <f>ROUNDDOWN(INDEX(テーブル!$G$5:$I$12,MATCH(C62,テーブル!$D$5:$D$12,0),MATCH(H62,テーブル!$G$4:$I$4,0))*E62,-2)</f>
        <v>2800</v>
      </c>
      <c r="J62" s="39">
        <f t="shared" si="0"/>
        <v>45520</v>
      </c>
    </row>
    <row r="63" spans="1:10">
      <c r="A63" s="6">
        <v>14</v>
      </c>
      <c r="B63" s="1" t="str">
        <f>VLOOKUP(A63,テーブル!$A$3:$B$6,2,0)</f>
        <v>井上企画</v>
      </c>
      <c r="C63" s="1">
        <v>106</v>
      </c>
      <c r="D63" s="1" t="str">
        <f>VLOOKUP(C63,テーブル!$D$5:$I$12,2,0)</f>
        <v>Ｕ商品</v>
      </c>
      <c r="E63" s="1">
        <v>11</v>
      </c>
      <c r="F63" s="32">
        <f>IF(E63&lt;10,VLOOKUP(C63,テーブル!$D$5:$I$12,3,0)*E63,VLOOKUP(C63,テーブル!$D$5:$I$12,3,0)*10)</f>
        <v>49700</v>
      </c>
      <c r="G63" s="32">
        <f>ROUND(IF(E63&lt;10,0,VLOOKUP(C63,テーブル!$D$5:$I$12,3,0)*58%*(E63-10)),-1)</f>
        <v>2880</v>
      </c>
      <c r="H63" s="1" t="s">
        <v>6</v>
      </c>
      <c r="I63" s="2">
        <f>ROUNDDOWN(INDEX(テーブル!$G$5:$I$12,MATCH(C63,テーブル!$D$5:$D$12,0),MATCH(H63,テーブル!$G$4:$I$4,0))*E63,-2)</f>
        <v>3900</v>
      </c>
      <c r="J63" s="39">
        <f t="shared" si="0"/>
        <v>56480</v>
      </c>
    </row>
    <row r="64" spans="1:10">
      <c r="A64" s="6">
        <v>14</v>
      </c>
      <c r="B64" s="1" t="str">
        <f>VLOOKUP(A64,テーブル!$A$3:$B$6,2,0)</f>
        <v>井上企画</v>
      </c>
      <c r="C64" s="1">
        <v>107</v>
      </c>
      <c r="D64" s="1" t="str">
        <f>VLOOKUP(C64,テーブル!$D$5:$I$12,2,0)</f>
        <v>Ｖ商品</v>
      </c>
      <c r="E64" s="1">
        <v>9</v>
      </c>
      <c r="F64" s="32">
        <f>IF(E64&lt;10,VLOOKUP(C64,テーブル!$D$5:$I$12,3,0)*E64,VLOOKUP(C64,テーブル!$D$5:$I$12,3,0)*10)</f>
        <v>41670</v>
      </c>
      <c r="G64" s="32">
        <f>ROUND(IF(E64&lt;10,0,VLOOKUP(C64,テーブル!$D$5:$I$12,3,0)*58%*(E64-10)),-1)</f>
        <v>0</v>
      </c>
      <c r="H64" s="1" t="s">
        <v>6</v>
      </c>
      <c r="I64" s="2">
        <f>ROUNDDOWN(INDEX(テーブル!$G$5:$I$12,MATCH(C64,テーブル!$D$5:$D$12,0),MATCH(H64,テーブル!$G$4:$I$4,0))*E64,-2)</f>
        <v>3000</v>
      </c>
      <c r="J64" s="39">
        <f t="shared" si="0"/>
        <v>44670</v>
      </c>
    </row>
    <row r="65" spans="1:11">
      <c r="A65" s="6">
        <v>14</v>
      </c>
      <c r="B65" s="1" t="str">
        <f>VLOOKUP(A65,テーブル!$A$3:$B$6,2,0)</f>
        <v>井上企画</v>
      </c>
      <c r="C65" s="1">
        <v>108</v>
      </c>
      <c r="D65" s="1" t="str">
        <f>VLOOKUP(C65,テーブル!$D$5:$I$12,2,0)</f>
        <v>Ｗ商品</v>
      </c>
      <c r="E65" s="1">
        <v>14</v>
      </c>
      <c r="F65" s="32">
        <f>IF(E65&lt;10,VLOOKUP(C65,テーブル!$D$5:$I$12,3,0)*E65,VLOOKUP(C65,テーブル!$D$5:$I$12,3,0)*10)</f>
        <v>40800</v>
      </c>
      <c r="G65" s="32">
        <f>ROUND(IF(E65&lt;10,0,VLOOKUP(C65,テーブル!$D$5:$I$12,3,0)*58%*(E65-10)),-1)</f>
        <v>9470</v>
      </c>
      <c r="H65" s="1" t="s">
        <v>8</v>
      </c>
      <c r="I65" s="2">
        <f>ROUNDDOWN(INDEX(テーブル!$G$5:$I$12,MATCH(C65,テーブル!$D$5:$D$12,0),MATCH(H65,テーブル!$G$4:$I$4,0))*E65,-2)</f>
        <v>3300</v>
      </c>
      <c r="J65" s="39">
        <f t="shared" si="0"/>
        <v>53570</v>
      </c>
    </row>
    <row r="66" spans="1:11">
      <c r="A66" s="6"/>
      <c r="B66" s="1"/>
      <c r="C66" s="1"/>
      <c r="D66" s="1"/>
      <c r="E66" s="1"/>
      <c r="F66" s="1"/>
      <c r="G66" s="1"/>
      <c r="H66" s="1"/>
      <c r="I66" s="1"/>
      <c r="J66" s="7"/>
    </row>
    <row r="67" spans="1:11" ht="14.25" thickBot="1">
      <c r="A67" s="8"/>
      <c r="B67" s="40" t="s">
        <v>3</v>
      </c>
      <c r="C67" s="10"/>
      <c r="D67" s="10"/>
      <c r="E67" s="25">
        <f>SUM(E2:E65)</f>
        <v>699</v>
      </c>
      <c r="F67" s="25">
        <f>SUM(F2:F65)</f>
        <v>3361520</v>
      </c>
      <c r="G67" s="25">
        <f>SUM(G2:G65)</f>
        <v>352330</v>
      </c>
      <c r="H67" s="25"/>
      <c r="I67" s="25">
        <f t="shared" ref="I67:J67" si="1">SUM(I2:I65)</f>
        <v>258000</v>
      </c>
      <c r="J67" s="26">
        <f t="shared" si="1"/>
        <v>3971850</v>
      </c>
      <c r="K67" t="s">
        <v>46</v>
      </c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0"/>
  <sheetViews>
    <sheetView workbookViewId="0">
      <selection sqref="A1:F1"/>
    </sheetView>
  </sheetViews>
  <sheetFormatPr defaultRowHeight="13.5"/>
  <cols>
    <col min="1" max="1" width="9.5" bestFit="1" customWidth="1"/>
    <col min="2" max="2" width="5.5" bestFit="1" customWidth="1"/>
    <col min="3" max="3" width="10.5" bestFit="1" customWidth="1"/>
    <col min="4" max="4" width="8.5" bestFit="1" customWidth="1"/>
    <col min="5" max="5" width="10.5" bestFit="1" customWidth="1"/>
    <col min="6" max="6" width="5.5" bestFit="1" customWidth="1"/>
    <col min="7" max="7" width="12" customWidth="1"/>
    <col min="8" max="8" width="7.5" bestFit="1" customWidth="1"/>
    <col min="9" max="9" width="5.5" bestFit="1" customWidth="1"/>
    <col min="10" max="10" width="10.5" bestFit="1" customWidth="1"/>
    <col min="11" max="12" width="9.5" bestFit="1" customWidth="1"/>
    <col min="13" max="13" width="10.5" bestFit="1" customWidth="1"/>
    <col min="14" max="14" width="10" customWidth="1"/>
    <col min="15" max="15" width="47.125" bestFit="1" customWidth="1"/>
    <col min="16" max="16" width="11.625" bestFit="1" customWidth="1"/>
    <col min="17" max="18" width="9.5" bestFit="1" customWidth="1"/>
    <col min="19" max="27" width="9" customWidth="1"/>
  </cols>
  <sheetData>
    <row r="1" spans="1:19" ht="14.25" thickBot="1">
      <c r="A1" s="43" t="s">
        <v>40</v>
      </c>
      <c r="B1" s="43"/>
      <c r="C1" s="43"/>
      <c r="D1" s="43"/>
      <c r="E1" s="43"/>
      <c r="F1" s="43"/>
      <c r="G1" s="15"/>
      <c r="H1" s="44" t="s">
        <v>9</v>
      </c>
      <c r="I1" s="44"/>
      <c r="J1" s="44"/>
      <c r="K1" s="44"/>
      <c r="L1" s="44"/>
      <c r="M1" s="44"/>
    </row>
    <row r="2" spans="1:19">
      <c r="A2" s="3" t="s">
        <v>26</v>
      </c>
      <c r="B2" s="4" t="s">
        <v>10</v>
      </c>
      <c r="C2" s="4" t="s">
        <v>13</v>
      </c>
      <c r="D2" s="4" t="s">
        <v>4</v>
      </c>
      <c r="E2" s="4" t="s">
        <v>5</v>
      </c>
      <c r="F2" s="5" t="s">
        <v>14</v>
      </c>
      <c r="G2" s="16"/>
      <c r="H2" s="3" t="s">
        <v>1</v>
      </c>
      <c r="I2" s="4" t="s">
        <v>10</v>
      </c>
      <c r="J2" s="4" t="s">
        <v>22</v>
      </c>
      <c r="K2" s="4" t="s">
        <v>23</v>
      </c>
      <c r="L2" s="4" t="s">
        <v>12</v>
      </c>
      <c r="M2" s="5" t="s">
        <v>13</v>
      </c>
      <c r="O2" s="13" t="s">
        <v>43</v>
      </c>
      <c r="P2" s="14">
        <f>DCOUNTA(データ表!$A$1:$J$65,2,P5:Q6)</f>
        <v>14</v>
      </c>
      <c r="Q2" s="29"/>
    </row>
    <row r="3" spans="1:19" ht="14.25" thickBot="1">
      <c r="A3" s="27" t="s">
        <v>27</v>
      </c>
      <c r="B3" s="18">
        <f>SUMIF(データ表!$B$2:$B$65,$A3,データ表!$E$2:$E$65)</f>
        <v>170</v>
      </c>
      <c r="C3" s="18">
        <f>SUMIF(データ表!$B$2:$B$65,$A3,データ表!$J$2:$J$65)</f>
        <v>967970</v>
      </c>
      <c r="D3" s="2">
        <f>ROUNDUP(IF(OR(B3&gt;=180,C3&gt;=980000),C3*7.3%,C3*6.4%),-1)</f>
        <v>61960</v>
      </c>
      <c r="E3" s="2">
        <f>C3-D3</f>
        <v>906010</v>
      </c>
      <c r="F3" s="7" t="str">
        <f>IF(E3&gt;=AVERAGE($E$3:$E$6),"良好","")</f>
        <v/>
      </c>
      <c r="G3" s="17"/>
      <c r="H3" s="6" t="s">
        <v>31</v>
      </c>
      <c r="I3" s="18">
        <f>SUMIF(データ表!$D$2:$D$65,$H3,データ表!$E$2:$E$65)</f>
        <v>81</v>
      </c>
      <c r="J3" s="18">
        <f>SUMIF(データ表!$D$2:$D$65,$H3,データ表!$F$2:$F$65)</f>
        <v>536550</v>
      </c>
      <c r="K3" s="18">
        <f>SUMIF(データ表!$D$2:$D$65,$H3,データ表!$G$2:$G$65)</f>
        <v>34100</v>
      </c>
      <c r="L3" s="18">
        <f>SUMIF(データ表!$D$2:$D$65,$H3,データ表!$I$2:$I$65)</f>
        <v>39600</v>
      </c>
      <c r="M3" s="19">
        <f>SUMIF(データ表!$D$2:$D$65,$H3,データ表!$J$2:$J$65)</f>
        <v>610250</v>
      </c>
      <c r="O3" s="8" t="s">
        <v>41</v>
      </c>
      <c r="P3" s="36" t="str">
        <f>DGET(データ表!$A$1:$J$65,4,P7:P8)</f>
        <v>Ｐ商品</v>
      </c>
      <c r="Q3" t="s">
        <v>46</v>
      </c>
    </row>
    <row r="4" spans="1:19" ht="14.25" thickBot="1">
      <c r="A4" s="27" t="s">
        <v>30</v>
      </c>
      <c r="B4" s="18">
        <f>SUMIF(データ表!$B$2:$B$65,$A4,データ表!$E$2:$E$65)</f>
        <v>174</v>
      </c>
      <c r="C4" s="18">
        <f>SUMIF(データ表!$B$2:$B$65,$A4,データ表!$J$2:$J$65)</f>
        <v>978610</v>
      </c>
      <c r="D4" s="2">
        <f>ROUNDUP(IF(OR(B4&gt;=180,C4&gt;=980000),C4*7.3%,C4*6.4%),-1)</f>
        <v>62640</v>
      </c>
      <c r="E4" s="2">
        <f>C4-D4</f>
        <v>915970</v>
      </c>
      <c r="F4" s="7" t="str">
        <f>IF(E4&gt;=AVERAGE($E$3:$E$6),"良好","")</f>
        <v/>
      </c>
      <c r="G4" s="17"/>
      <c r="H4" s="6" t="s">
        <v>32</v>
      </c>
      <c r="I4" s="18">
        <f>SUMIF(データ表!$D$2:$D$65,$H4,データ表!$E$2:$E$65)</f>
        <v>93</v>
      </c>
      <c r="J4" s="18">
        <f>SUMIF(データ表!$D$2:$D$65,$H4,データ表!$F$2:$F$65)</f>
        <v>517440</v>
      </c>
      <c r="K4" s="18">
        <f>SUMIF(データ表!$D$2:$D$65,$H4,データ表!$G$2:$G$65)</f>
        <v>62360</v>
      </c>
      <c r="L4" s="18">
        <f>SUMIF(データ表!$D$2:$D$65,$H4,データ表!$I$2:$I$65)</f>
        <v>39600</v>
      </c>
      <c r="M4" s="19">
        <f>SUMIF(データ表!$D$2:$D$65,$H4,データ表!$J$2:$J$65)</f>
        <v>619400</v>
      </c>
      <c r="O4" s="17"/>
      <c r="P4" s="30"/>
      <c r="Q4" s="30"/>
      <c r="R4" s="17"/>
      <c r="S4" s="17"/>
    </row>
    <row r="5" spans="1:19">
      <c r="A5" s="27" t="s">
        <v>29</v>
      </c>
      <c r="B5" s="18">
        <f>SUMIF(データ表!$B$2:$B$65,$A5,データ表!$E$2:$E$65)</f>
        <v>172</v>
      </c>
      <c r="C5" s="18">
        <f>SUMIF(データ表!$B$2:$B$65,$A5,データ表!$J$2:$J$65)</f>
        <v>998620</v>
      </c>
      <c r="D5" s="2">
        <f>ROUNDUP(IF(OR(B5&gt;=180,C5&gt;=980000),C5*7.3%,C5*6.4%),-1)</f>
        <v>72900</v>
      </c>
      <c r="E5" s="2">
        <f>C5-D5</f>
        <v>925720</v>
      </c>
      <c r="F5" s="7" t="str">
        <f>IF(E5&gt;=AVERAGE($E$3:$E$6),"良好","")</f>
        <v>良好</v>
      </c>
      <c r="G5" s="17"/>
      <c r="H5" s="6" t="s">
        <v>33</v>
      </c>
      <c r="I5" s="18">
        <f>SUMIF(データ表!$D$2:$D$65,$H5,データ表!$E$2:$E$65)</f>
        <v>89</v>
      </c>
      <c r="J5" s="18">
        <f>SUMIF(データ表!$D$2:$D$65,$H5,データ表!$F$2:$F$65)</f>
        <v>465460</v>
      </c>
      <c r="K5" s="18">
        <f>SUMIF(データ表!$D$2:$D$65,$H5,データ表!$G$2:$G$65)</f>
        <v>54720</v>
      </c>
      <c r="L5" s="18">
        <f>SUMIF(データ表!$D$2:$D$65,$H5,データ表!$I$2:$I$65)</f>
        <v>38200</v>
      </c>
      <c r="M5" s="19">
        <f>SUMIF(データ表!$D$2:$D$65,$H5,データ表!$J$2:$J$65)</f>
        <v>558380</v>
      </c>
      <c r="P5" s="3" t="s">
        <v>45</v>
      </c>
      <c r="Q5" s="5" t="s">
        <v>23</v>
      </c>
    </row>
    <row r="6" spans="1:19" ht="14.25" thickBot="1">
      <c r="A6" s="27" t="s">
        <v>28</v>
      </c>
      <c r="B6" s="18">
        <f>SUMIF(データ表!$B$2:$B$65,$A6,データ表!$E$2:$E$65)</f>
        <v>183</v>
      </c>
      <c r="C6" s="18">
        <f>SUMIF(データ表!$B$2:$B$65,$A6,データ表!$J$2:$J$65)</f>
        <v>1026650</v>
      </c>
      <c r="D6" s="2">
        <f>ROUNDUP(IF(OR(B6&gt;=180,C6&gt;=980000),C6*7.3%,C6*6.4%),-1)</f>
        <v>74950</v>
      </c>
      <c r="E6" s="2">
        <f>C6-D6</f>
        <v>951700</v>
      </c>
      <c r="F6" s="7" t="str">
        <f>IF(E6&gt;=AVERAGE($E$3:$E$6),"良好","")</f>
        <v>良好</v>
      </c>
      <c r="G6" s="17"/>
      <c r="H6" s="6" t="s">
        <v>34</v>
      </c>
      <c r="I6" s="18">
        <f>SUMIF(データ表!$D$2:$D$65,$H6,データ表!$E$2:$E$65)</f>
        <v>100</v>
      </c>
      <c r="J6" s="18">
        <f>SUMIF(データ表!$D$2:$D$65,$H6,データ表!$F$2:$F$65)</f>
        <v>437340</v>
      </c>
      <c r="K6" s="18">
        <f>SUMIF(データ表!$D$2:$D$65,$H6,データ表!$G$2:$G$65)</f>
        <v>89120</v>
      </c>
      <c r="L6" s="18">
        <f>SUMIF(データ表!$D$2:$D$65,$H6,データ表!$I$2:$I$65)</f>
        <v>37400</v>
      </c>
      <c r="M6" s="19">
        <f>SUMIF(データ表!$D$2:$D$65,$H6,データ表!$J$2:$J$65)</f>
        <v>563860</v>
      </c>
      <c r="P6" s="8" t="s">
        <v>44</v>
      </c>
      <c r="Q6" s="11" t="s">
        <v>39</v>
      </c>
      <c r="R6" s="16"/>
    </row>
    <row r="7" spans="1:19">
      <c r="A7" s="6"/>
      <c r="B7" s="1"/>
      <c r="C7" s="1"/>
      <c r="D7" s="1"/>
      <c r="E7" s="1"/>
      <c r="F7" s="7"/>
      <c r="G7" s="17"/>
      <c r="H7" s="6" t="s">
        <v>35</v>
      </c>
      <c r="I7" s="18">
        <f>SUMIF(データ表!$D$2:$D$65,$H7,データ表!$E$2:$E$65)</f>
        <v>84</v>
      </c>
      <c r="J7" s="18">
        <f>SUMIF(データ表!$D$2:$D$65,$H7,データ表!$F$2:$F$65)</f>
        <v>389820</v>
      </c>
      <c r="K7" s="18">
        <f>SUMIF(データ表!$D$2:$D$65,$H7,データ表!$G$2:$G$65)</f>
        <v>34070</v>
      </c>
      <c r="L7" s="18">
        <f>SUMIF(データ表!$D$2:$D$65,$H7,データ表!$I$2:$I$65)</f>
        <v>28200</v>
      </c>
      <c r="M7" s="19">
        <f>SUMIF(データ表!$D$2:$D$65,$H7,データ表!$J$2:$J$65)</f>
        <v>452090</v>
      </c>
      <c r="P7" s="37" t="s">
        <v>42</v>
      </c>
      <c r="Q7" s="16"/>
      <c r="R7" s="17"/>
    </row>
    <row r="8" spans="1:19" ht="14.25" thickBot="1">
      <c r="A8" s="12" t="s">
        <v>17</v>
      </c>
      <c r="B8" s="10">
        <f>SUM(B3:B6)</f>
        <v>699</v>
      </c>
      <c r="C8" s="9">
        <f>SUM(C3:C6)</f>
        <v>3971850</v>
      </c>
      <c r="D8" s="9">
        <f>SUM(D3:D6)</f>
        <v>272450</v>
      </c>
      <c r="E8" s="9">
        <f>SUM(E3:E6)</f>
        <v>3699400</v>
      </c>
      <c r="F8" s="11"/>
      <c r="G8" t="s">
        <v>46</v>
      </c>
      <c r="H8" s="6" t="s">
        <v>36</v>
      </c>
      <c r="I8" s="18">
        <f>SUMIF(データ表!$D$2:$D$65,$H8,データ表!$E$2:$E$65)</f>
        <v>91</v>
      </c>
      <c r="J8" s="18">
        <f>SUMIF(データ表!$D$2:$D$65,$H8,データ表!$F$2:$F$65)</f>
        <v>397600</v>
      </c>
      <c r="K8" s="18">
        <f>SUMIF(データ表!$D$2:$D$65,$H8,データ表!$G$2:$G$65)</f>
        <v>31710</v>
      </c>
      <c r="L8" s="18">
        <f>SUMIF(データ表!$D$2:$D$65,$H8,データ表!$I$2:$I$65)</f>
        <v>29100</v>
      </c>
      <c r="M8" s="19">
        <f>SUMIF(データ表!$D$2:$D$65,$H8,データ表!$J$2:$J$65)</f>
        <v>458410</v>
      </c>
      <c r="P8" s="38">
        <f>MAX(データ表!J2:J65)</f>
        <v>106680</v>
      </c>
      <c r="Q8" s="17"/>
      <c r="R8" s="16"/>
    </row>
    <row r="9" spans="1:19">
      <c r="E9" s="22"/>
      <c r="H9" s="6" t="s">
        <v>37</v>
      </c>
      <c r="I9" s="18">
        <f>SUMIF(データ表!$D$2:$D$65,$H9,データ表!$E$2:$E$65)</f>
        <v>73</v>
      </c>
      <c r="J9" s="18">
        <f>SUMIF(データ表!$D$2:$D$65,$H9,データ表!$F$2:$F$65)</f>
        <v>319470</v>
      </c>
      <c r="K9" s="18">
        <f>SUMIF(データ表!$D$2:$D$65,$H9,データ表!$G$2:$G$65)</f>
        <v>10750</v>
      </c>
      <c r="L9" s="18">
        <f>SUMIF(データ表!$D$2:$D$65,$H9,データ表!$I$2:$I$65)</f>
        <v>22000</v>
      </c>
      <c r="M9" s="19">
        <f>SUMIF(データ表!$D$2:$D$65,$H9,データ表!$J$2:$J$65)</f>
        <v>352220</v>
      </c>
      <c r="P9" s="17"/>
      <c r="Q9" s="17"/>
      <c r="R9" s="17"/>
    </row>
    <row r="10" spans="1:19" ht="14.25" thickBot="1">
      <c r="A10" s="16"/>
      <c r="B10" s="16"/>
      <c r="C10" s="16"/>
      <c r="D10" s="16"/>
      <c r="H10" s="8" t="s">
        <v>38</v>
      </c>
      <c r="I10" s="20">
        <f>SUMIF(データ表!$D$2:$D$65,$H10,データ表!$E$2:$E$65)</f>
        <v>88</v>
      </c>
      <c r="J10" s="20">
        <f>SUMIF(データ表!$D$2:$D$65,$H10,データ表!$F$2:$F$65)</f>
        <v>297840</v>
      </c>
      <c r="K10" s="20">
        <f>SUMIF(データ表!$D$2:$D$65,$H10,データ表!$G$2:$G$65)</f>
        <v>35500</v>
      </c>
      <c r="L10" s="20">
        <f>SUMIF(データ表!$D$2:$D$65,$H10,データ表!$I$2:$I$65)</f>
        <v>23900</v>
      </c>
      <c r="M10" s="21">
        <f>SUMIF(データ表!$D$2:$D$65,$H10,データ表!$J$2:$J$65)</f>
        <v>357240</v>
      </c>
      <c r="N10" t="s">
        <v>46</v>
      </c>
      <c r="P10" s="16"/>
      <c r="Q10" s="16"/>
      <c r="R10" s="16"/>
    </row>
    <row r="11" spans="1:19">
      <c r="A11" s="17"/>
      <c r="B11" s="17"/>
      <c r="C11" s="17"/>
      <c r="D11" s="17"/>
      <c r="I11" s="33"/>
      <c r="J11" s="33"/>
      <c r="K11" s="33"/>
      <c r="L11" s="33"/>
      <c r="M11" s="33"/>
    </row>
    <row r="12" spans="1:19">
      <c r="H12" s="16"/>
      <c r="I12" s="16"/>
      <c r="J12" s="16"/>
      <c r="K12" s="16"/>
      <c r="L12" s="16"/>
      <c r="M12" s="16"/>
    </row>
    <row r="13" spans="1:19">
      <c r="D13" s="23"/>
      <c r="H13" s="17"/>
      <c r="I13" s="17"/>
      <c r="J13" s="17"/>
      <c r="K13" s="17"/>
      <c r="L13" s="17"/>
      <c r="M13" s="17"/>
    </row>
    <row r="14" spans="1:19">
      <c r="H14" s="16"/>
      <c r="I14" s="16"/>
      <c r="J14" s="16"/>
      <c r="K14" s="16"/>
      <c r="L14" s="17"/>
      <c r="M14" s="17"/>
    </row>
    <row r="15" spans="1:19">
      <c r="H15" s="17"/>
      <c r="I15" s="17"/>
      <c r="J15" s="17"/>
      <c r="K15" s="17"/>
      <c r="L15" s="17"/>
      <c r="M15" s="17"/>
    </row>
    <row r="30" spans="8:16">
      <c r="H30" t="s">
        <v>47</v>
      </c>
      <c r="P30" t="s">
        <v>47</v>
      </c>
    </row>
  </sheetData>
  <sortState xmlns:xlrd2="http://schemas.microsoft.com/office/spreadsheetml/2017/richdata2" ref="A3:F6">
    <sortCondition ref="E3:E6"/>
  </sortState>
  <mergeCells count="2">
    <mergeCell ref="A1:F1"/>
    <mergeCell ref="H1:M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テーブル</vt:lpstr>
      <vt:lpstr>データ表</vt:lpstr>
      <vt:lpstr>計算表</vt:lpstr>
      <vt:lpstr>データ表!データ表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日本情報処理検定協会(K.I)</dc:creator>
  <cp:lastModifiedBy>日本情報処理検定協会(M.N)</cp:lastModifiedBy>
  <cp:lastPrinted>2020-12-24T02:56:04Z</cp:lastPrinted>
  <dcterms:created xsi:type="dcterms:W3CDTF">2019-03-28T01:49:55Z</dcterms:created>
  <dcterms:modified xsi:type="dcterms:W3CDTF">2022-05-19T05:14:32Z</dcterms:modified>
</cp:coreProperties>
</file>