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1_検定問題\2022(令和04)年度\令和04年07月\1表計算\SPS_202207\"/>
    </mc:Choice>
  </mc:AlternateContent>
  <xr:revisionPtr revIDLastSave="0" documentId="13_ncr:1_{64FFEAD0-4ECA-41CE-AEF3-4B9A220EE7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テーブル" sheetId="9" r:id="rId1"/>
    <sheet name="仕入データ表" sheetId="10" r:id="rId2"/>
    <sheet name="定価計算表" sheetId="11" r:id="rId3"/>
    <sheet name="販売データ表" sheetId="6" r:id="rId4"/>
    <sheet name="請求額計算表" sheetId="7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0" l="1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G2" i="10"/>
  <c r="D3" i="6"/>
  <c r="D4" i="6"/>
  <c r="D5" i="6"/>
  <c r="D7" i="6"/>
  <c r="D6" i="6"/>
  <c r="D8" i="6"/>
  <c r="D9" i="6"/>
  <c r="D10" i="6"/>
  <c r="D11" i="6"/>
  <c r="D13" i="6"/>
  <c r="D12" i="6"/>
  <c r="D14" i="6"/>
  <c r="D15" i="6"/>
  <c r="D16" i="6"/>
  <c r="D17" i="6"/>
  <c r="D19" i="6"/>
  <c r="D18" i="6"/>
  <c r="D20" i="6"/>
  <c r="D22" i="6"/>
  <c r="D21" i="6"/>
  <c r="D23" i="6"/>
  <c r="D24" i="6"/>
  <c r="D25" i="6"/>
  <c r="D2" i="6"/>
  <c r="C8" i="11" l="1"/>
  <c r="C7" i="11"/>
  <c r="C6" i="11"/>
  <c r="C5" i="11"/>
  <c r="C4" i="11"/>
  <c r="C3" i="11"/>
  <c r="B7" i="11"/>
  <c r="B8" i="11"/>
  <c r="B4" i="11"/>
  <c r="B5" i="11"/>
  <c r="B6" i="11"/>
  <c r="B3" i="11"/>
  <c r="D3" i="10"/>
  <c r="E3" i="10" s="1"/>
  <c r="D4" i="10"/>
  <c r="E4" i="10" s="1"/>
  <c r="D5" i="10"/>
  <c r="E5" i="10" s="1"/>
  <c r="D6" i="10"/>
  <c r="E6" i="10" s="1"/>
  <c r="D7" i="10"/>
  <c r="E7" i="10" s="1"/>
  <c r="D8" i="10"/>
  <c r="E8" i="10" s="1"/>
  <c r="D9" i="10"/>
  <c r="E9" i="10" s="1"/>
  <c r="D10" i="10"/>
  <c r="E10" i="10" s="1"/>
  <c r="D11" i="10"/>
  <c r="E11" i="10" s="1"/>
  <c r="D12" i="10"/>
  <c r="E12" i="10" s="1"/>
  <c r="D13" i="10"/>
  <c r="E13" i="10" s="1"/>
  <c r="D14" i="10"/>
  <c r="E14" i="10" s="1"/>
  <c r="D15" i="10"/>
  <c r="E15" i="10" s="1"/>
  <c r="D16" i="10"/>
  <c r="E16" i="10" s="1"/>
  <c r="D17" i="10"/>
  <c r="E17" i="10" s="1"/>
  <c r="D18" i="10"/>
  <c r="E18" i="10" s="1"/>
  <c r="D19" i="10"/>
  <c r="E19" i="10" s="1"/>
  <c r="D20" i="10"/>
  <c r="E20" i="10" s="1"/>
  <c r="D21" i="10"/>
  <c r="E21" i="10" s="1"/>
  <c r="D22" i="10"/>
  <c r="E22" i="10" s="1"/>
  <c r="D23" i="10"/>
  <c r="E23" i="10" s="1"/>
  <c r="D24" i="10"/>
  <c r="E24" i="10" s="1"/>
  <c r="D25" i="10"/>
  <c r="E25" i="10" s="1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D2" i="10"/>
  <c r="E2" i="10" s="1"/>
  <c r="B2" i="10"/>
  <c r="C10" i="11" l="1"/>
  <c r="E8" i="11" l="1"/>
  <c r="E7" i="11"/>
  <c r="E5" i="11"/>
  <c r="C27" i="10"/>
  <c r="E27" i="6"/>
  <c r="E6" i="11" l="1"/>
  <c r="E4" i="11"/>
  <c r="E3" i="11"/>
  <c r="B4" i="7"/>
  <c r="B5" i="7"/>
  <c r="B6" i="7"/>
  <c r="B7" i="7"/>
  <c r="B8" i="7"/>
  <c r="B9" i="7"/>
  <c r="B10" i="7"/>
  <c r="B3" i="7"/>
  <c r="B3" i="6"/>
  <c r="B4" i="6"/>
  <c r="B5" i="6"/>
  <c r="B7" i="6"/>
  <c r="B6" i="6"/>
  <c r="B8" i="6"/>
  <c r="B9" i="6"/>
  <c r="B10" i="6"/>
  <c r="B11" i="6"/>
  <c r="B13" i="6"/>
  <c r="B12" i="6"/>
  <c r="B14" i="6"/>
  <c r="B15" i="6"/>
  <c r="B16" i="6"/>
  <c r="B17" i="6"/>
  <c r="B19" i="6"/>
  <c r="B18" i="6"/>
  <c r="B20" i="6"/>
  <c r="B22" i="6"/>
  <c r="B21" i="6"/>
  <c r="B23" i="6"/>
  <c r="B24" i="6"/>
  <c r="B25" i="6"/>
  <c r="B2" i="6"/>
  <c r="E10" i="11" l="1"/>
  <c r="F2" i="10"/>
  <c r="F4" i="10"/>
  <c r="F8" i="10"/>
  <c r="F12" i="10"/>
  <c r="F3" i="10"/>
  <c r="F11" i="10"/>
  <c r="F7" i="10"/>
  <c r="F5" i="10"/>
  <c r="F9" i="10"/>
  <c r="F13" i="10"/>
  <c r="F6" i="10"/>
  <c r="F10" i="10"/>
  <c r="F25" i="10" l="1"/>
  <c r="F17" i="10"/>
  <c r="F20" i="10"/>
  <c r="F16" i="10"/>
  <c r="F24" i="10"/>
  <c r="F23" i="10"/>
  <c r="F19" i="10"/>
  <c r="D8" i="11" s="1"/>
  <c r="F15" i="10"/>
  <c r="F21" i="10"/>
  <c r="F14" i="10"/>
  <c r="D3" i="11" s="1"/>
  <c r="F3" i="11" s="1"/>
  <c r="F22" i="10"/>
  <c r="F18" i="10"/>
  <c r="D27" i="10"/>
  <c r="F8" i="11" l="1"/>
  <c r="G8" i="11" s="1"/>
  <c r="D7" i="11"/>
  <c r="D4" i="11"/>
  <c r="F4" i="11" s="1"/>
  <c r="D5" i="11"/>
  <c r="F5" i="11" s="1"/>
  <c r="D6" i="11"/>
  <c r="F6" i="11" s="1"/>
  <c r="G3" i="11"/>
  <c r="E27" i="10"/>
  <c r="G27" i="10"/>
  <c r="F22" i="6" l="1"/>
  <c r="G22" i="6" s="1"/>
  <c r="F7" i="6"/>
  <c r="G7" i="6" s="1"/>
  <c r="F16" i="6"/>
  <c r="G16" i="6" s="1"/>
  <c r="F19" i="6"/>
  <c r="G19" i="6" s="1"/>
  <c r="F7" i="11"/>
  <c r="G7" i="11" s="1"/>
  <c r="F21" i="6" s="1"/>
  <c r="G21" i="6" s="1"/>
  <c r="F14" i="6"/>
  <c r="G14" i="6" s="1"/>
  <c r="F20" i="6"/>
  <c r="G20" i="6" s="1"/>
  <c r="F2" i="6"/>
  <c r="G2" i="6" s="1"/>
  <c r="F17" i="6"/>
  <c r="G17" i="6" s="1"/>
  <c r="D10" i="11"/>
  <c r="G4" i="11"/>
  <c r="F27" i="10"/>
  <c r="G6" i="11"/>
  <c r="C9" i="7" l="1"/>
  <c r="D9" i="7" s="1"/>
  <c r="F4" i="6"/>
  <c r="G4" i="6" s="1"/>
  <c r="F10" i="6"/>
  <c r="G10" i="6" s="1"/>
  <c r="F25" i="6"/>
  <c r="G25" i="6" s="1"/>
  <c r="F6" i="6"/>
  <c r="G6" i="6" s="1"/>
  <c r="F24" i="6"/>
  <c r="G24" i="6" s="1"/>
  <c r="F13" i="6"/>
  <c r="G13" i="6" s="1"/>
  <c r="F9" i="6"/>
  <c r="G9" i="6" s="1"/>
  <c r="F8" i="6"/>
  <c r="G8" i="6" s="1"/>
  <c r="F3" i="6"/>
  <c r="G3" i="6" s="1"/>
  <c r="F15" i="6"/>
  <c r="G15" i="6" s="1"/>
  <c r="C7" i="7" s="1"/>
  <c r="D7" i="7" s="1"/>
  <c r="F23" i="6"/>
  <c r="G23" i="6" s="1"/>
  <c r="G5" i="11"/>
  <c r="C3" i="7" l="1"/>
  <c r="D3" i="7" s="1"/>
  <c r="F12" i="6"/>
  <c r="G12" i="6" s="1"/>
  <c r="F18" i="6"/>
  <c r="G18" i="6" s="1"/>
  <c r="F5" i="6"/>
  <c r="G5" i="6" s="1"/>
  <c r="F11" i="6"/>
  <c r="G11" i="6" s="1"/>
  <c r="C5" i="7"/>
  <c r="C10" i="7"/>
  <c r="E9" i="7"/>
  <c r="F9" i="7" s="1"/>
  <c r="D10" i="7" l="1"/>
  <c r="E10" i="7" s="1"/>
  <c r="F10" i="7" s="1"/>
  <c r="D5" i="7"/>
  <c r="E5" i="7" s="1"/>
  <c r="F5" i="7" s="1"/>
  <c r="C8" i="7"/>
  <c r="C6" i="7"/>
  <c r="C4" i="7"/>
  <c r="G27" i="6"/>
  <c r="E3" i="7"/>
  <c r="F3" i="7" s="1"/>
  <c r="E7" i="7"/>
  <c r="F7" i="7" s="1"/>
  <c r="D8" i="7" l="1"/>
  <c r="E8" i="7" s="1"/>
  <c r="F8" i="7" s="1"/>
  <c r="D6" i="7"/>
  <c r="E6" i="7" s="1"/>
  <c r="F6" i="7" s="1"/>
  <c r="C12" i="7"/>
  <c r="D4" i="7"/>
  <c r="E4" i="7" s="1"/>
  <c r="D12" i="7" l="1"/>
  <c r="F4" i="7"/>
  <c r="F12" i="7" s="1"/>
  <c r="E12" i="7"/>
</calcChain>
</file>

<file path=xl/sharedStrings.xml><?xml version="1.0" encoding="utf-8"?>
<sst xmlns="http://schemas.openxmlformats.org/spreadsheetml/2006/main" count="133" uniqueCount="68">
  <si>
    <t>商ＣＯ</t>
  </si>
  <si>
    <t>商品名</t>
  </si>
  <si>
    <t>仕入数</t>
  </si>
  <si>
    <t>金額</t>
  </si>
  <si>
    <t>増量数</t>
  </si>
  <si>
    <t>＜商品テーブル＞</t>
  </si>
  <si>
    <t>原価</t>
  </si>
  <si>
    <t>合　計</t>
  </si>
  <si>
    <t>商品別定価計算表</t>
  </si>
  <si>
    <t>利益率</t>
  </si>
  <si>
    <t>定価</t>
  </si>
  <si>
    <t>商ＣＯの下１桁</t>
  </si>
  <si>
    <t>売価</t>
  </si>
  <si>
    <t>請求額</t>
  </si>
  <si>
    <t>区分</t>
  </si>
  <si>
    <t>＜手数料率表＞</t>
    <rPh sb="1" eb="4">
      <t>テスウリョウ</t>
    </rPh>
    <phoneticPr fontId="1"/>
  </si>
  <si>
    <t>A</t>
    <phoneticPr fontId="1"/>
  </si>
  <si>
    <t>B</t>
    <phoneticPr fontId="1"/>
  </si>
  <si>
    <t>C</t>
    <phoneticPr fontId="1"/>
  </si>
  <si>
    <t>11C</t>
  </si>
  <si>
    <t>11C</t>
    <phoneticPr fontId="1"/>
  </si>
  <si>
    <t>12B</t>
  </si>
  <si>
    <t>12B</t>
    <phoneticPr fontId="1"/>
  </si>
  <si>
    <t>13A</t>
  </si>
  <si>
    <t>13A</t>
    <phoneticPr fontId="1"/>
  </si>
  <si>
    <t>14B</t>
  </si>
  <si>
    <t>14B</t>
    <phoneticPr fontId="1"/>
  </si>
  <si>
    <t>15C</t>
  </si>
  <si>
    <t>15C</t>
    <phoneticPr fontId="1"/>
  </si>
  <si>
    <t>16A</t>
  </si>
  <si>
    <t>16A</t>
    <phoneticPr fontId="1"/>
  </si>
  <si>
    <t>17C</t>
  </si>
  <si>
    <t>17C</t>
    <phoneticPr fontId="1"/>
  </si>
  <si>
    <t>18B</t>
  </si>
  <si>
    <t>18B</t>
    <phoneticPr fontId="1"/>
  </si>
  <si>
    <t>山田企画</t>
    <rPh sb="0" eb="2">
      <t>ヤマダ</t>
    </rPh>
    <rPh sb="2" eb="4">
      <t>キカク</t>
    </rPh>
    <phoneticPr fontId="1"/>
  </si>
  <si>
    <t>杉山物産</t>
    <rPh sb="0" eb="2">
      <t>スギヤマ</t>
    </rPh>
    <phoneticPr fontId="1"/>
  </si>
  <si>
    <t>ヤマモト</t>
    <phoneticPr fontId="1"/>
  </si>
  <si>
    <t>野村商店</t>
    <rPh sb="0" eb="2">
      <t>ノムラ</t>
    </rPh>
    <rPh sb="2" eb="4">
      <t>ショウテン</t>
    </rPh>
    <phoneticPr fontId="1"/>
  </si>
  <si>
    <t>石原総業</t>
    <rPh sb="0" eb="2">
      <t>イシハラ</t>
    </rPh>
    <rPh sb="2" eb="4">
      <t>ソウギョウ</t>
    </rPh>
    <phoneticPr fontId="1"/>
  </si>
  <si>
    <t>ＳＫＨＤ</t>
    <phoneticPr fontId="1"/>
  </si>
  <si>
    <t>東北商会</t>
    <rPh sb="0" eb="2">
      <t>トウホク</t>
    </rPh>
    <phoneticPr fontId="1"/>
  </si>
  <si>
    <t>渡辺水産</t>
    <rPh sb="0" eb="2">
      <t>ワタナベ</t>
    </rPh>
    <rPh sb="2" eb="4">
      <t>スイサン</t>
    </rPh>
    <phoneticPr fontId="1"/>
  </si>
  <si>
    <t>販ＣＯ</t>
    <rPh sb="0" eb="1">
      <t>ハン</t>
    </rPh>
    <phoneticPr fontId="1"/>
  </si>
  <si>
    <t>＜販売先テーブル＞</t>
    <rPh sb="1" eb="3">
      <t>ハンバイ</t>
    </rPh>
    <phoneticPr fontId="1"/>
  </si>
  <si>
    <t>販売先名</t>
    <rPh sb="0" eb="2">
      <t>ハンバイ</t>
    </rPh>
    <phoneticPr fontId="1"/>
  </si>
  <si>
    <t>Ｄ商品</t>
    <phoneticPr fontId="1"/>
  </si>
  <si>
    <t>Ｅ商品</t>
    <phoneticPr fontId="1"/>
  </si>
  <si>
    <t>Ｆ商品</t>
    <phoneticPr fontId="1"/>
  </si>
  <si>
    <t>Ｇ商品</t>
    <phoneticPr fontId="1"/>
  </si>
  <si>
    <t>手数料</t>
    <rPh sb="0" eb="3">
      <t>テスウリョウ</t>
    </rPh>
    <phoneticPr fontId="1"/>
  </si>
  <si>
    <t>販売数</t>
    <rPh sb="0" eb="2">
      <t>ハンバイ</t>
    </rPh>
    <phoneticPr fontId="1"/>
  </si>
  <si>
    <t>ポイント</t>
    <phoneticPr fontId="1"/>
  </si>
  <si>
    <t>販売額</t>
    <rPh sb="0" eb="3">
      <t>ハンバイガク</t>
    </rPh>
    <phoneticPr fontId="1"/>
  </si>
  <si>
    <t>販売先別請求額計算表</t>
    <rPh sb="0" eb="2">
      <t>ハンバイ</t>
    </rPh>
    <phoneticPr fontId="1"/>
  </si>
  <si>
    <t>Ｈ商品</t>
    <phoneticPr fontId="1"/>
  </si>
  <si>
    <t>Ｉ商品</t>
    <phoneticPr fontId="1"/>
  </si>
  <si>
    <t>＜割引率テーブル＞</t>
    <rPh sb="1" eb="3">
      <t>ワリビキ</t>
    </rPh>
    <phoneticPr fontId="1"/>
  </si>
  <si>
    <t>割引率</t>
    <rPh sb="0" eb="2">
      <t>ワリビキ</t>
    </rPh>
    <phoneticPr fontId="1"/>
  </si>
  <si>
    <t>割引額</t>
    <rPh sb="0" eb="2">
      <t>ワリビキ</t>
    </rPh>
    <phoneticPr fontId="1"/>
  </si>
  <si>
    <t>販売額</t>
    <rPh sb="0" eb="3">
      <t>ハンバイガク</t>
    </rPh>
    <phoneticPr fontId="1"/>
  </si>
  <si>
    <t>仕入額</t>
    <rPh sb="0" eb="2">
      <t>シイレ</t>
    </rPh>
    <phoneticPr fontId="1"/>
  </si>
  <si>
    <t>＜利益率表＞</t>
    <rPh sb="1" eb="3">
      <t>リエキ</t>
    </rPh>
    <rPh sb="3" eb="4">
      <t>リツ</t>
    </rPh>
    <phoneticPr fontId="1"/>
  </si>
  <si>
    <t>仕入額</t>
    <rPh sb="0" eb="3">
      <t>シイレガク</t>
    </rPh>
    <phoneticPr fontId="1"/>
  </si>
  <si>
    <t>利益率</t>
    <rPh sb="0" eb="3">
      <t>リエキリツ</t>
    </rPh>
    <phoneticPr fontId="1"/>
  </si>
  <si>
    <t>金額</t>
    <rPh sb="0" eb="2">
      <t>キンガク</t>
    </rPh>
    <phoneticPr fontId="1"/>
  </si>
  <si>
    <t>【100点】</t>
    <rPh sb="4" eb="5">
      <t>テン</t>
    </rPh>
    <phoneticPr fontId="1"/>
  </si>
  <si>
    <t>グラフ【20点】</t>
    <rPh sb="6" eb="7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</si>
</sst>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1"/>
      <color rgb="FFFF0000"/>
      <name val="ＭＳ 明朝"/>
      <family val="2"/>
      <charset val="128"/>
    </font>
    <font>
      <sz val="11"/>
      <name val="ＭＳ 明朝"/>
      <family val="1"/>
      <charset val="128"/>
    </font>
    <font>
      <sz val="11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9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3" fontId="0" fillId="0" borderId="6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3" fontId="0" fillId="0" borderId="8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3" fontId="0" fillId="0" borderId="0" xfId="0" applyNumberFormat="1" applyFill="1" applyBorder="1">
      <alignment vertical="center"/>
    </xf>
    <xf numFmtId="0" fontId="0" fillId="0" borderId="0" xfId="0" applyBorder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>
      <alignment vertical="center"/>
    </xf>
    <xf numFmtId="0" fontId="0" fillId="0" borderId="1" xfId="0" applyFill="1" applyBorder="1">
      <alignment vertical="center"/>
    </xf>
    <xf numFmtId="3" fontId="0" fillId="0" borderId="1" xfId="0" applyNumberFormat="1" applyFill="1" applyBorder="1">
      <alignment vertical="center"/>
    </xf>
    <xf numFmtId="3" fontId="0" fillId="0" borderId="6" xfId="0" applyNumberFormat="1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 applyAlignment="1">
      <alignment horizontal="center" vertical="center"/>
    </xf>
    <xf numFmtId="3" fontId="0" fillId="0" borderId="8" xfId="0" applyNumberFormat="1" applyFill="1" applyBorder="1">
      <alignment vertical="center"/>
    </xf>
    <xf numFmtId="3" fontId="0" fillId="0" borderId="9" xfId="0" applyNumberFormat="1" applyFill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8" xfId="0" applyFill="1" applyBorder="1">
      <alignment vertical="center"/>
    </xf>
    <xf numFmtId="38" fontId="0" fillId="0" borderId="8" xfId="1" applyFont="1" applyFill="1" applyBorder="1">
      <alignment vertical="center"/>
    </xf>
    <xf numFmtId="38" fontId="0" fillId="0" borderId="9" xfId="1" applyFont="1" applyFill="1" applyBorder="1">
      <alignment vertical="center"/>
    </xf>
    <xf numFmtId="0" fontId="4" fillId="0" borderId="1" xfId="0" applyFont="1" applyBorder="1">
      <alignment vertical="center"/>
    </xf>
    <xf numFmtId="3" fontId="5" fillId="0" borderId="1" xfId="0" applyNumberFormat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1" xfId="0" applyNumberFormat="1" applyFont="1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>
      <alignment vertical="center"/>
    </xf>
    <xf numFmtId="9" fontId="0" fillId="0" borderId="0" xfId="0" applyNumberFormat="1" applyBorder="1">
      <alignment vertical="center"/>
    </xf>
    <xf numFmtId="9" fontId="5" fillId="0" borderId="1" xfId="2" applyFont="1" applyBorder="1">
      <alignment vertical="center"/>
    </xf>
    <xf numFmtId="176" fontId="0" fillId="0" borderId="1" xfId="2" applyNumberFormat="1" applyFont="1" applyFill="1" applyBorder="1">
      <alignment vertical="center"/>
    </xf>
    <xf numFmtId="0" fontId="0" fillId="0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/>
              <a:t>販売先別の集計グラフ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請求額計算表!$E$2</c:f>
              <c:strCache>
                <c:ptCount val="1"/>
                <c:pt idx="0">
                  <c:v>請求額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請求額計算表!$B$3:$B$10</c:f>
              <c:strCache>
                <c:ptCount val="8"/>
                <c:pt idx="0">
                  <c:v>山田企画</c:v>
                </c:pt>
                <c:pt idx="1">
                  <c:v>杉山物産</c:v>
                </c:pt>
                <c:pt idx="2">
                  <c:v>ヤマモト</c:v>
                </c:pt>
                <c:pt idx="3">
                  <c:v>野村商店</c:v>
                </c:pt>
                <c:pt idx="4">
                  <c:v>石原総業</c:v>
                </c:pt>
                <c:pt idx="5">
                  <c:v>ＳＫＨＤ</c:v>
                </c:pt>
                <c:pt idx="6">
                  <c:v>東北商会</c:v>
                </c:pt>
                <c:pt idx="7">
                  <c:v>渡辺水産</c:v>
                </c:pt>
              </c:strCache>
            </c:strRef>
          </c:cat>
          <c:val>
            <c:numRef>
              <c:f>請求額計算表!$E$3:$E$10</c:f>
              <c:numCache>
                <c:formatCode>#,##0_);[Red]\(#,##0\)</c:formatCode>
                <c:ptCount val="8"/>
                <c:pt idx="0">
                  <c:v>1623213</c:v>
                </c:pt>
                <c:pt idx="1">
                  <c:v>1743057</c:v>
                </c:pt>
                <c:pt idx="2">
                  <c:v>1704162</c:v>
                </c:pt>
                <c:pt idx="3">
                  <c:v>1625743</c:v>
                </c:pt>
                <c:pt idx="4">
                  <c:v>1626976</c:v>
                </c:pt>
                <c:pt idx="5">
                  <c:v>1803698</c:v>
                </c:pt>
                <c:pt idx="6">
                  <c:v>1677378</c:v>
                </c:pt>
                <c:pt idx="7">
                  <c:v>1573387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89-44A5-B637-C9BEA2070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73152"/>
        <c:axId val="96671616"/>
      </c:barChart>
      <c:lineChart>
        <c:grouping val="standard"/>
        <c:varyColors val="0"/>
        <c:ser>
          <c:idx val="0"/>
          <c:order val="0"/>
          <c:tx>
            <c:strRef>
              <c:f>請求額計算表!$D$2</c:f>
              <c:strCache>
                <c:ptCount val="1"/>
                <c:pt idx="0">
                  <c:v>割引額</c:v>
                </c:pt>
              </c:strCache>
            </c:strRef>
          </c:tx>
          <c:marker>
            <c:symbol val="diamond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>
                    <a:alpha val="94000"/>
                  </a:sysClr>
                </a:solidFill>
              </a:ln>
              <a:effectLst/>
            </c:spPr>
          </c:marker>
          <c:cat>
            <c:strRef>
              <c:f>請求額計算表!$B$3:$B$10</c:f>
              <c:strCache>
                <c:ptCount val="8"/>
                <c:pt idx="0">
                  <c:v>山田企画</c:v>
                </c:pt>
                <c:pt idx="1">
                  <c:v>杉山物産</c:v>
                </c:pt>
                <c:pt idx="2">
                  <c:v>ヤマモト</c:v>
                </c:pt>
                <c:pt idx="3">
                  <c:v>野村商店</c:v>
                </c:pt>
                <c:pt idx="4">
                  <c:v>石原総業</c:v>
                </c:pt>
                <c:pt idx="5">
                  <c:v>ＳＫＨＤ</c:v>
                </c:pt>
                <c:pt idx="6">
                  <c:v>東北商会</c:v>
                </c:pt>
                <c:pt idx="7">
                  <c:v>渡辺水産</c:v>
                </c:pt>
              </c:strCache>
            </c:strRef>
          </c:cat>
          <c:val>
            <c:numRef>
              <c:f>請求額計算表!$D$3:$D$10</c:f>
              <c:numCache>
                <c:formatCode>#,##0_);[Red]\(#,##0\)</c:formatCode>
                <c:ptCount val="8"/>
                <c:pt idx="0">
                  <c:v>83636</c:v>
                </c:pt>
                <c:pt idx="1">
                  <c:v>93674</c:v>
                </c:pt>
                <c:pt idx="2">
                  <c:v>95376</c:v>
                </c:pt>
                <c:pt idx="3">
                  <c:v>87369</c:v>
                </c:pt>
                <c:pt idx="4">
                  <c:v>83830</c:v>
                </c:pt>
                <c:pt idx="5">
                  <c:v>100947</c:v>
                </c:pt>
                <c:pt idx="6">
                  <c:v>86427</c:v>
                </c:pt>
                <c:pt idx="7">
                  <c:v>84556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BC-4B51-B8EB-09FA7B421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667904"/>
        <c:axId val="96670080"/>
      </c:lineChart>
      <c:catAx>
        <c:axId val="96667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96670080"/>
        <c:crosses val="autoZero"/>
        <c:auto val="1"/>
        <c:lblAlgn val="ctr"/>
        <c:lblOffset val="100"/>
        <c:noMultiLvlLbl val="0"/>
      </c:catAx>
      <c:valAx>
        <c:axId val="966700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96667904"/>
        <c:crosses val="autoZero"/>
        <c:crossBetween val="between"/>
      </c:valAx>
      <c:valAx>
        <c:axId val="96671616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96673152"/>
        <c:crosses val="max"/>
        <c:crossBetween val="between"/>
      </c:valAx>
      <c:catAx>
        <c:axId val="96673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6671616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chemeClr val="dk1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466723</xdr:colOff>
      <xdr:row>21</xdr:row>
      <xdr:rowOff>19050</xdr:rowOff>
    </xdr:from>
    <xdr:to>
      <xdr:col>11</xdr:col>
      <xdr:colOff>609600</xdr:colOff>
      <xdr:row>37</xdr:row>
      <xdr:rowOff>114300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85D0938-44A3-4D94-B2CB-ABB382696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54A4F-2338-4E29-9526-202C477F55C5}">
  <dimension ref="A1:Q11"/>
  <sheetViews>
    <sheetView tabSelected="1" workbookViewId="0"/>
  </sheetViews>
  <sheetFormatPr defaultRowHeight="13.5"/>
  <cols>
    <col min="1" max="2" width="7.5" bestFit="1" customWidth="1"/>
    <col min="3" max="3" width="6.5" bestFit="1" customWidth="1"/>
    <col min="4" max="4" width="3.75" customWidth="1"/>
    <col min="5" max="5" width="10.5" bestFit="1" customWidth="1"/>
    <col min="6" max="6" width="7.625" customWidth="1"/>
    <col min="7" max="8" width="7.5" customWidth="1"/>
    <col min="9" max="9" width="3.625" customWidth="1"/>
    <col min="10" max="10" width="10.5" customWidth="1"/>
    <col min="11" max="11" width="9.5" bestFit="1" customWidth="1"/>
    <col min="12" max="12" width="3.75" customWidth="1"/>
    <col min="13" max="13" width="7.5" bestFit="1" customWidth="1"/>
    <col min="14" max="14" width="9.5" bestFit="1" customWidth="1"/>
    <col min="15" max="15" width="3.75" customWidth="1"/>
    <col min="16" max="16" width="5.5" bestFit="1" customWidth="1"/>
    <col min="17" max="17" width="7.5" bestFit="1" customWidth="1"/>
  </cols>
  <sheetData>
    <row r="1" spans="1:17">
      <c r="A1" t="s">
        <v>5</v>
      </c>
      <c r="E1" t="s">
        <v>15</v>
      </c>
      <c r="J1" t="s">
        <v>62</v>
      </c>
      <c r="M1" t="s">
        <v>44</v>
      </c>
      <c r="P1" t="s">
        <v>57</v>
      </c>
    </row>
    <row r="2" spans="1:17">
      <c r="A2" s="1" t="s">
        <v>0</v>
      </c>
      <c r="B2" s="1" t="s">
        <v>1</v>
      </c>
      <c r="C2" s="1" t="s">
        <v>6</v>
      </c>
      <c r="E2" s="57" t="s">
        <v>65</v>
      </c>
      <c r="F2" s="57" t="s">
        <v>11</v>
      </c>
      <c r="G2" s="57"/>
      <c r="H2" s="57"/>
      <c r="I2" s="51"/>
      <c r="J2" s="1" t="s">
        <v>63</v>
      </c>
      <c r="K2" s="1" t="s">
        <v>64</v>
      </c>
      <c r="M2" s="1" t="s">
        <v>43</v>
      </c>
      <c r="N2" s="1" t="s">
        <v>45</v>
      </c>
      <c r="P2" s="1" t="s">
        <v>14</v>
      </c>
      <c r="Q2" s="1" t="s">
        <v>58</v>
      </c>
    </row>
    <row r="3" spans="1:17">
      <c r="A3" s="2">
        <v>101</v>
      </c>
      <c r="B3" s="2" t="s">
        <v>46</v>
      </c>
      <c r="C3" s="41">
        <v>3280</v>
      </c>
      <c r="E3" s="57"/>
      <c r="F3" s="2">
        <v>1</v>
      </c>
      <c r="G3" s="2">
        <v>2</v>
      </c>
      <c r="H3" s="29">
        <v>3</v>
      </c>
      <c r="I3" s="52"/>
      <c r="J3" s="41">
        <v>1</v>
      </c>
      <c r="K3" s="54">
        <v>0.28999999999999998</v>
      </c>
      <c r="M3" s="2" t="s">
        <v>20</v>
      </c>
      <c r="N3" s="40" t="s">
        <v>35</v>
      </c>
      <c r="P3" s="2" t="s">
        <v>16</v>
      </c>
      <c r="Q3" s="6">
        <v>5.2999999999999999E-2</v>
      </c>
    </row>
    <row r="4" spans="1:17">
      <c r="A4" s="2">
        <v>102</v>
      </c>
      <c r="B4" s="2" t="s">
        <v>47</v>
      </c>
      <c r="C4" s="41">
        <v>3560</v>
      </c>
      <c r="E4" s="44">
        <v>1</v>
      </c>
      <c r="F4" s="55">
        <v>6.2E-2</v>
      </c>
      <c r="G4" s="55">
        <v>5.8999999999999997E-2</v>
      </c>
      <c r="H4" s="55">
        <v>5.6000000000000001E-2</v>
      </c>
      <c r="I4" s="53"/>
      <c r="J4" s="41">
        <v>2000000</v>
      </c>
      <c r="K4" s="54">
        <v>0.28000000000000003</v>
      </c>
      <c r="M4" s="2" t="s">
        <v>22</v>
      </c>
      <c r="N4" s="40" t="s">
        <v>36</v>
      </c>
      <c r="P4" s="2" t="s">
        <v>17</v>
      </c>
      <c r="Q4" s="6">
        <v>5.0999999999999997E-2</v>
      </c>
    </row>
    <row r="5" spans="1:17">
      <c r="A5" s="2">
        <v>103</v>
      </c>
      <c r="B5" s="2" t="s">
        <v>48</v>
      </c>
      <c r="C5" s="41">
        <v>3940</v>
      </c>
      <c r="E5" s="44">
        <v>400000</v>
      </c>
      <c r="F5" s="55">
        <v>5.3999999999999999E-2</v>
      </c>
      <c r="G5" s="55">
        <v>0.05</v>
      </c>
      <c r="H5" s="55">
        <v>4.7E-2</v>
      </c>
      <c r="I5" s="53"/>
      <c r="J5" s="41">
        <v>2300000</v>
      </c>
      <c r="K5" s="54">
        <v>0.27</v>
      </c>
      <c r="M5" s="2" t="s">
        <v>24</v>
      </c>
      <c r="N5" s="40" t="s">
        <v>37</v>
      </c>
      <c r="P5" s="2" t="s">
        <v>18</v>
      </c>
      <c r="Q5" s="6">
        <v>4.9000000000000002E-2</v>
      </c>
    </row>
    <row r="6" spans="1:17">
      <c r="A6" s="2">
        <v>201</v>
      </c>
      <c r="B6" s="2" t="s">
        <v>49</v>
      </c>
      <c r="C6" s="41">
        <v>4230</v>
      </c>
      <c r="E6" s="5">
        <v>550000</v>
      </c>
      <c r="F6" s="55">
        <v>4.4999999999999998E-2</v>
      </c>
      <c r="G6" s="55">
        <v>4.1000000000000002E-2</v>
      </c>
      <c r="H6" s="55">
        <v>3.9E-2</v>
      </c>
      <c r="M6" s="2" t="s">
        <v>26</v>
      </c>
      <c r="N6" s="40" t="s">
        <v>38</v>
      </c>
    </row>
    <row r="7" spans="1:17">
      <c r="A7" s="29">
        <v>202</v>
      </c>
      <c r="B7" s="2" t="s">
        <v>55</v>
      </c>
      <c r="C7" s="5">
        <v>4510</v>
      </c>
      <c r="F7" s="56"/>
      <c r="G7" s="56"/>
      <c r="H7" s="56"/>
      <c r="M7" s="2" t="s">
        <v>28</v>
      </c>
      <c r="N7" s="40" t="s">
        <v>39</v>
      </c>
    </row>
    <row r="8" spans="1:17">
      <c r="A8" s="29">
        <v>203</v>
      </c>
      <c r="B8" s="2" t="s">
        <v>56</v>
      </c>
      <c r="C8" s="30">
        <v>4860</v>
      </c>
      <c r="M8" s="2" t="s">
        <v>30</v>
      </c>
      <c r="N8" s="40" t="s">
        <v>40</v>
      </c>
    </row>
    <row r="9" spans="1:17">
      <c r="C9" s="23"/>
      <c r="M9" s="2" t="s">
        <v>32</v>
      </c>
      <c r="N9" s="40" t="s">
        <v>41</v>
      </c>
    </row>
    <row r="10" spans="1:17">
      <c r="C10" s="23"/>
      <c r="M10" s="2" t="s">
        <v>34</v>
      </c>
      <c r="N10" s="40" t="s">
        <v>42</v>
      </c>
    </row>
    <row r="11" spans="1:17">
      <c r="C11" s="23"/>
    </row>
  </sheetData>
  <sortState xmlns:xlrd2="http://schemas.microsoft.com/office/spreadsheetml/2017/richdata2" ref="P3:Q5">
    <sortCondition ref="P3:P5"/>
  </sortState>
  <mergeCells count="2">
    <mergeCell ref="E2:E3"/>
    <mergeCell ref="F2:H2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32E68-0032-4E4A-9C3E-E98C486DE57E}">
  <dimension ref="A1:H27"/>
  <sheetViews>
    <sheetView workbookViewId="0"/>
  </sheetViews>
  <sheetFormatPr defaultRowHeight="13.5"/>
  <cols>
    <col min="1" max="3" width="7.5" bestFit="1" customWidth="1"/>
    <col min="4" max="4" width="11.625" bestFit="1" customWidth="1"/>
    <col min="5" max="5" width="8.5" bestFit="1" customWidth="1"/>
    <col min="6" max="6" width="11.625" customWidth="1"/>
    <col min="7" max="7" width="7.5" bestFit="1" customWidth="1"/>
  </cols>
  <sheetData>
    <row r="1" spans="1:7">
      <c r="A1" s="25" t="s">
        <v>0</v>
      </c>
      <c r="B1" s="26" t="s">
        <v>1</v>
      </c>
      <c r="C1" s="26" t="s">
        <v>2</v>
      </c>
      <c r="D1" s="26" t="s">
        <v>3</v>
      </c>
      <c r="E1" s="26" t="s">
        <v>50</v>
      </c>
      <c r="F1" s="26" t="s">
        <v>61</v>
      </c>
      <c r="G1" s="27" t="s">
        <v>4</v>
      </c>
    </row>
    <row r="2" spans="1:7">
      <c r="A2" s="10">
        <v>101</v>
      </c>
      <c r="B2" s="29" t="str">
        <f>VLOOKUP(A2,テーブル!$A$3:$C$8,2,0)</f>
        <v>Ｄ商品</v>
      </c>
      <c r="C2" s="30">
        <v>186</v>
      </c>
      <c r="D2" s="30">
        <f>VLOOKUP(A2,テーブル!$A$3:$C$8,3,0)*C2</f>
        <v>610080</v>
      </c>
      <c r="E2" s="5">
        <f>ROUNDUP(D2*INDEX(テーブル!$F$4:$H$6,MATCH(D2,テーブル!$E$4:$E$6,1),MATCH(MOD(A2,10),テーブル!$F$3:$H$3,0)),-1)</f>
        <v>27460</v>
      </c>
      <c r="F2" s="30">
        <f t="shared" ref="F2:F25" si="0">D2+E2</f>
        <v>637540</v>
      </c>
      <c r="G2" s="31">
        <f>ROUNDUP(IF(AND(C2&gt;=135,D2&gt;=500000),C2*4.9%,C2*3.7%),0)</f>
        <v>10</v>
      </c>
    </row>
    <row r="3" spans="1:7">
      <c r="A3" s="10">
        <v>102</v>
      </c>
      <c r="B3" s="29" t="str">
        <f>VLOOKUP(A3,テーブル!$A$3:$C$8,2,0)</f>
        <v>Ｅ商品</v>
      </c>
      <c r="C3" s="30">
        <v>101</v>
      </c>
      <c r="D3" s="30">
        <f>VLOOKUP(A3,テーブル!$A$3:$C$8,3,0)*C3</f>
        <v>359560</v>
      </c>
      <c r="E3" s="5">
        <f>ROUNDUP(D3*INDEX(テーブル!$F$4:$H$6,MATCH(D3,テーブル!$E$4:$E$6,1),MATCH(MOD(A3,10),テーブル!$F$3:$H$3,0)),-1)</f>
        <v>21220</v>
      </c>
      <c r="F3" s="30">
        <f t="shared" si="0"/>
        <v>380780</v>
      </c>
      <c r="G3" s="31">
        <f t="shared" ref="G3:G25" si="1">ROUNDUP(IF(AND(C3&gt;=135,D3&gt;=500000),C3*4.9%,C3*3.7%),0)</f>
        <v>4</v>
      </c>
    </row>
    <row r="4" spans="1:7">
      <c r="A4" s="10">
        <v>103</v>
      </c>
      <c r="B4" s="29" t="str">
        <f>VLOOKUP(A4,テーブル!$A$3:$C$8,2,0)</f>
        <v>Ｆ商品</v>
      </c>
      <c r="C4" s="30">
        <v>105</v>
      </c>
      <c r="D4" s="30">
        <f>VLOOKUP(A4,テーブル!$A$3:$C$8,3,0)*C4</f>
        <v>413700</v>
      </c>
      <c r="E4" s="5">
        <f>ROUNDUP(D4*INDEX(テーブル!$F$4:$H$6,MATCH(D4,テーブル!$E$4:$E$6,1),MATCH(MOD(A4,10),テーブル!$F$3:$H$3,0)),-1)</f>
        <v>19450</v>
      </c>
      <c r="F4" s="30">
        <f t="shared" si="0"/>
        <v>433150</v>
      </c>
      <c r="G4" s="31">
        <f t="shared" si="1"/>
        <v>4</v>
      </c>
    </row>
    <row r="5" spans="1:7">
      <c r="A5" s="10">
        <v>201</v>
      </c>
      <c r="B5" s="29" t="str">
        <f>VLOOKUP(A5,テーブル!$A$3:$C$8,2,0)</f>
        <v>Ｇ商品</v>
      </c>
      <c r="C5" s="30">
        <v>135</v>
      </c>
      <c r="D5" s="30">
        <f>VLOOKUP(A5,テーブル!$A$3:$C$8,3,0)*C5</f>
        <v>571050</v>
      </c>
      <c r="E5" s="5">
        <f>ROUNDUP(D5*INDEX(テーブル!$F$4:$H$6,MATCH(D5,テーブル!$E$4:$E$6,1),MATCH(MOD(A5,10),テーブル!$F$3:$H$3,0)),-1)</f>
        <v>25700</v>
      </c>
      <c r="F5" s="30">
        <f t="shared" si="0"/>
        <v>596750</v>
      </c>
      <c r="G5" s="31">
        <f t="shared" si="1"/>
        <v>7</v>
      </c>
    </row>
    <row r="6" spans="1:7">
      <c r="A6" s="28">
        <v>202</v>
      </c>
      <c r="B6" s="29" t="str">
        <f>VLOOKUP(A6,テーブル!$A$3:$C$8,2,0)</f>
        <v>Ｈ商品</v>
      </c>
      <c r="C6" s="30">
        <v>130</v>
      </c>
      <c r="D6" s="30">
        <f>VLOOKUP(A6,テーブル!$A$3:$C$8,3,0)*C6</f>
        <v>586300</v>
      </c>
      <c r="E6" s="5">
        <f>ROUNDUP(D6*INDEX(テーブル!$F$4:$H$6,MATCH(D6,テーブル!$E$4:$E$6,1),MATCH(MOD(A6,10),テーブル!$F$3:$H$3,0)),-1)</f>
        <v>24040</v>
      </c>
      <c r="F6" s="30">
        <f t="shared" si="0"/>
        <v>610340</v>
      </c>
      <c r="G6" s="31">
        <f t="shared" si="1"/>
        <v>5</v>
      </c>
    </row>
    <row r="7" spans="1:7">
      <c r="A7" s="28">
        <v>203</v>
      </c>
      <c r="B7" s="29" t="str">
        <f>VLOOKUP(A7,テーブル!$A$3:$C$8,2,0)</f>
        <v>Ｉ商品</v>
      </c>
      <c r="C7" s="30">
        <v>142</v>
      </c>
      <c r="D7" s="30">
        <f>VLOOKUP(A7,テーブル!$A$3:$C$8,3,0)*C7</f>
        <v>690120</v>
      </c>
      <c r="E7" s="5">
        <f>ROUNDUP(D7*INDEX(テーブル!$F$4:$H$6,MATCH(D7,テーブル!$E$4:$E$6,1),MATCH(MOD(A7,10),テーブル!$F$3:$H$3,0)),-1)</f>
        <v>26920</v>
      </c>
      <c r="F7" s="30">
        <f t="shared" si="0"/>
        <v>717040</v>
      </c>
      <c r="G7" s="31">
        <f t="shared" si="1"/>
        <v>7</v>
      </c>
    </row>
    <row r="8" spans="1:7">
      <c r="A8" s="10">
        <v>101</v>
      </c>
      <c r="B8" s="29" t="str">
        <f>VLOOKUP(A8,テーブル!$A$3:$C$8,2,0)</f>
        <v>Ｄ商品</v>
      </c>
      <c r="C8" s="30">
        <v>141</v>
      </c>
      <c r="D8" s="30">
        <f>VLOOKUP(A8,テーブル!$A$3:$C$8,3,0)*C8</f>
        <v>462480</v>
      </c>
      <c r="E8" s="5">
        <f>ROUNDUP(D8*INDEX(テーブル!$F$4:$H$6,MATCH(D8,テーブル!$E$4:$E$6,1),MATCH(MOD(A8,10),テーブル!$F$3:$H$3,0)),-1)</f>
        <v>24980</v>
      </c>
      <c r="F8" s="30">
        <f t="shared" si="0"/>
        <v>487460</v>
      </c>
      <c r="G8" s="31">
        <f t="shared" si="1"/>
        <v>6</v>
      </c>
    </row>
    <row r="9" spans="1:7">
      <c r="A9" s="10">
        <v>102</v>
      </c>
      <c r="B9" s="29" t="str">
        <f>VLOOKUP(A9,テーブル!$A$3:$C$8,2,0)</f>
        <v>Ｅ商品</v>
      </c>
      <c r="C9" s="30">
        <v>126</v>
      </c>
      <c r="D9" s="30">
        <f>VLOOKUP(A9,テーブル!$A$3:$C$8,3,0)*C9</f>
        <v>448560</v>
      </c>
      <c r="E9" s="5">
        <f>ROUNDUP(D9*INDEX(テーブル!$F$4:$H$6,MATCH(D9,テーブル!$E$4:$E$6,1),MATCH(MOD(A9,10),テーブル!$F$3:$H$3,0)),-1)</f>
        <v>22430</v>
      </c>
      <c r="F9" s="30">
        <f t="shared" si="0"/>
        <v>470990</v>
      </c>
      <c r="G9" s="31">
        <f t="shared" si="1"/>
        <v>5</v>
      </c>
    </row>
    <row r="10" spans="1:7">
      <c r="A10" s="10">
        <v>103</v>
      </c>
      <c r="B10" s="29" t="str">
        <f>VLOOKUP(A10,テーブル!$A$3:$C$8,2,0)</f>
        <v>Ｆ商品</v>
      </c>
      <c r="C10" s="30">
        <v>143</v>
      </c>
      <c r="D10" s="30">
        <f>VLOOKUP(A10,テーブル!$A$3:$C$8,3,0)*C10</f>
        <v>563420</v>
      </c>
      <c r="E10" s="5">
        <f>ROUNDUP(D10*INDEX(テーブル!$F$4:$H$6,MATCH(D10,テーブル!$E$4:$E$6,1),MATCH(MOD(A10,10),テーブル!$F$3:$H$3,0)),-1)</f>
        <v>21980</v>
      </c>
      <c r="F10" s="30">
        <f t="shared" si="0"/>
        <v>585400</v>
      </c>
      <c r="G10" s="31">
        <f t="shared" si="1"/>
        <v>8</v>
      </c>
    </row>
    <row r="11" spans="1:7">
      <c r="A11" s="10">
        <v>201</v>
      </c>
      <c r="B11" s="29" t="str">
        <f>VLOOKUP(A11,テーブル!$A$3:$C$8,2,0)</f>
        <v>Ｇ商品</v>
      </c>
      <c r="C11" s="30">
        <v>118</v>
      </c>
      <c r="D11" s="30">
        <f>VLOOKUP(A11,テーブル!$A$3:$C$8,3,0)*C11</f>
        <v>499140</v>
      </c>
      <c r="E11" s="5">
        <f>ROUNDUP(D11*INDEX(テーブル!$F$4:$H$6,MATCH(D11,テーブル!$E$4:$E$6,1),MATCH(MOD(A11,10),テーブル!$F$3:$H$3,0)),-1)</f>
        <v>26960</v>
      </c>
      <c r="F11" s="30">
        <f t="shared" si="0"/>
        <v>526100</v>
      </c>
      <c r="G11" s="31">
        <f t="shared" si="1"/>
        <v>5</v>
      </c>
    </row>
    <row r="12" spans="1:7">
      <c r="A12" s="28">
        <v>202</v>
      </c>
      <c r="B12" s="29" t="str">
        <f>VLOOKUP(A12,テーブル!$A$3:$C$8,2,0)</f>
        <v>Ｈ商品</v>
      </c>
      <c r="C12" s="30">
        <v>99</v>
      </c>
      <c r="D12" s="30">
        <f>VLOOKUP(A12,テーブル!$A$3:$C$8,3,0)*C12</f>
        <v>446490</v>
      </c>
      <c r="E12" s="5">
        <f>ROUNDUP(D12*INDEX(テーブル!$F$4:$H$6,MATCH(D12,テーブル!$E$4:$E$6,1),MATCH(MOD(A12,10),テーブル!$F$3:$H$3,0)),-1)</f>
        <v>22330</v>
      </c>
      <c r="F12" s="30">
        <f t="shared" si="0"/>
        <v>468820</v>
      </c>
      <c r="G12" s="31">
        <f t="shared" si="1"/>
        <v>4</v>
      </c>
    </row>
    <row r="13" spans="1:7">
      <c r="A13" s="28">
        <v>203</v>
      </c>
      <c r="B13" s="29" t="str">
        <f>VLOOKUP(A13,テーブル!$A$3:$C$8,2,0)</f>
        <v>Ｉ商品</v>
      </c>
      <c r="C13" s="30">
        <v>108</v>
      </c>
      <c r="D13" s="30">
        <f>VLOOKUP(A13,テーブル!$A$3:$C$8,3,0)*C13</f>
        <v>524880</v>
      </c>
      <c r="E13" s="5">
        <f>ROUNDUP(D13*INDEX(テーブル!$F$4:$H$6,MATCH(D13,テーブル!$E$4:$E$6,1),MATCH(MOD(A13,10),テーブル!$F$3:$H$3,0)),-1)</f>
        <v>24670</v>
      </c>
      <c r="F13" s="30">
        <f t="shared" si="0"/>
        <v>549550</v>
      </c>
      <c r="G13" s="31">
        <f t="shared" si="1"/>
        <v>4</v>
      </c>
    </row>
    <row r="14" spans="1:7">
      <c r="A14" s="10">
        <v>101</v>
      </c>
      <c r="B14" s="29" t="str">
        <f>VLOOKUP(A14,テーブル!$A$3:$C$8,2,0)</f>
        <v>Ｄ商品</v>
      </c>
      <c r="C14" s="30">
        <v>109</v>
      </c>
      <c r="D14" s="30">
        <f>VLOOKUP(A14,テーブル!$A$3:$C$8,3,0)*C14</f>
        <v>357520</v>
      </c>
      <c r="E14" s="5">
        <f>ROUNDUP(D14*INDEX(テーブル!$F$4:$H$6,MATCH(D14,テーブル!$E$4:$E$6,1),MATCH(MOD(A14,10),テーブル!$F$3:$H$3,0)),-1)</f>
        <v>22170</v>
      </c>
      <c r="F14" s="30">
        <f t="shared" si="0"/>
        <v>379690</v>
      </c>
      <c r="G14" s="31">
        <f t="shared" si="1"/>
        <v>5</v>
      </c>
    </row>
    <row r="15" spans="1:7">
      <c r="A15" s="10">
        <v>102</v>
      </c>
      <c r="B15" s="29" t="str">
        <f>VLOOKUP(A15,テーブル!$A$3:$C$8,2,0)</f>
        <v>Ｅ商品</v>
      </c>
      <c r="C15" s="30">
        <v>123</v>
      </c>
      <c r="D15" s="30">
        <f>VLOOKUP(A15,テーブル!$A$3:$C$8,3,0)*C15</f>
        <v>437880</v>
      </c>
      <c r="E15" s="5">
        <f>ROUNDUP(D15*INDEX(テーブル!$F$4:$H$6,MATCH(D15,テーブル!$E$4:$E$6,1),MATCH(MOD(A15,10),テーブル!$F$3:$H$3,0)),-1)</f>
        <v>21900</v>
      </c>
      <c r="F15" s="30">
        <f t="shared" si="0"/>
        <v>459780</v>
      </c>
      <c r="G15" s="31">
        <f t="shared" si="1"/>
        <v>5</v>
      </c>
    </row>
    <row r="16" spans="1:7">
      <c r="A16" s="10">
        <v>103</v>
      </c>
      <c r="B16" s="29" t="str">
        <f>VLOOKUP(A16,テーブル!$A$3:$C$8,2,0)</f>
        <v>Ｆ商品</v>
      </c>
      <c r="C16" s="30">
        <v>140</v>
      </c>
      <c r="D16" s="30">
        <f>VLOOKUP(A16,テーブル!$A$3:$C$8,3,0)*C16</f>
        <v>551600</v>
      </c>
      <c r="E16" s="5">
        <f>ROUNDUP(D16*INDEX(テーブル!$F$4:$H$6,MATCH(D16,テーブル!$E$4:$E$6,1),MATCH(MOD(A16,10),テーブル!$F$3:$H$3,0)),-1)</f>
        <v>21520</v>
      </c>
      <c r="F16" s="30">
        <f t="shared" si="0"/>
        <v>573120</v>
      </c>
      <c r="G16" s="31">
        <f t="shared" si="1"/>
        <v>7</v>
      </c>
    </row>
    <row r="17" spans="1:8">
      <c r="A17" s="10">
        <v>201</v>
      </c>
      <c r="B17" s="29" t="str">
        <f>VLOOKUP(A17,テーブル!$A$3:$C$8,2,0)</f>
        <v>Ｇ商品</v>
      </c>
      <c r="C17" s="30">
        <v>97</v>
      </c>
      <c r="D17" s="30">
        <f>VLOOKUP(A17,テーブル!$A$3:$C$8,3,0)*C17</f>
        <v>410310</v>
      </c>
      <c r="E17" s="5">
        <f>ROUNDUP(D17*INDEX(テーブル!$F$4:$H$6,MATCH(D17,テーブル!$E$4:$E$6,1),MATCH(MOD(A17,10),テーブル!$F$3:$H$3,0)),-1)</f>
        <v>22160</v>
      </c>
      <c r="F17" s="30">
        <f t="shared" si="0"/>
        <v>432470</v>
      </c>
      <c r="G17" s="31">
        <f t="shared" si="1"/>
        <v>4</v>
      </c>
    </row>
    <row r="18" spans="1:8">
      <c r="A18" s="28">
        <v>202</v>
      </c>
      <c r="B18" s="29" t="str">
        <f>VLOOKUP(A18,テーブル!$A$3:$C$8,2,0)</f>
        <v>Ｈ商品</v>
      </c>
      <c r="C18" s="30">
        <v>196</v>
      </c>
      <c r="D18" s="30">
        <f>VLOOKUP(A18,テーブル!$A$3:$C$8,3,0)*C18</f>
        <v>883960</v>
      </c>
      <c r="E18" s="5">
        <f>ROUNDUP(D18*INDEX(テーブル!$F$4:$H$6,MATCH(D18,テーブル!$E$4:$E$6,1),MATCH(MOD(A18,10),テーブル!$F$3:$H$3,0)),-1)</f>
        <v>36250</v>
      </c>
      <c r="F18" s="30">
        <f t="shared" si="0"/>
        <v>920210</v>
      </c>
      <c r="G18" s="31">
        <f t="shared" si="1"/>
        <v>10</v>
      </c>
    </row>
    <row r="19" spans="1:8">
      <c r="A19" s="28">
        <v>203</v>
      </c>
      <c r="B19" s="29" t="str">
        <f>VLOOKUP(A19,テーブル!$A$3:$C$8,2,0)</f>
        <v>Ｉ商品</v>
      </c>
      <c r="C19" s="30">
        <v>65</v>
      </c>
      <c r="D19" s="30">
        <f>VLOOKUP(A19,テーブル!$A$3:$C$8,3,0)*C19</f>
        <v>315900</v>
      </c>
      <c r="E19" s="5">
        <f>ROUNDUP(D19*INDEX(テーブル!$F$4:$H$6,MATCH(D19,テーブル!$E$4:$E$6,1),MATCH(MOD(A19,10),テーブル!$F$3:$H$3,0)),-1)</f>
        <v>17700</v>
      </c>
      <c r="F19" s="30">
        <f t="shared" si="0"/>
        <v>333600</v>
      </c>
      <c r="G19" s="31">
        <f t="shared" si="1"/>
        <v>3</v>
      </c>
    </row>
    <row r="20" spans="1:8">
      <c r="A20" s="10">
        <v>101</v>
      </c>
      <c r="B20" s="29" t="str">
        <f>VLOOKUP(A20,テーブル!$A$3:$C$8,2,0)</f>
        <v>Ｄ商品</v>
      </c>
      <c r="C20" s="30">
        <v>154</v>
      </c>
      <c r="D20" s="30">
        <f>VLOOKUP(A20,テーブル!$A$3:$C$8,3,0)*C20</f>
        <v>505120</v>
      </c>
      <c r="E20" s="5">
        <f>ROUNDUP(D20*INDEX(テーブル!$F$4:$H$6,MATCH(D20,テーブル!$E$4:$E$6,1),MATCH(MOD(A20,10),テーブル!$F$3:$H$3,0)),-1)</f>
        <v>27280</v>
      </c>
      <c r="F20" s="30">
        <f t="shared" si="0"/>
        <v>532400</v>
      </c>
      <c r="G20" s="31">
        <f t="shared" si="1"/>
        <v>8</v>
      </c>
    </row>
    <row r="21" spans="1:8">
      <c r="A21" s="10">
        <v>102</v>
      </c>
      <c r="B21" s="29" t="str">
        <f>VLOOKUP(A21,テーブル!$A$3:$C$8,2,0)</f>
        <v>Ｅ商品</v>
      </c>
      <c r="C21" s="30">
        <v>102</v>
      </c>
      <c r="D21" s="30">
        <f>VLOOKUP(A21,テーブル!$A$3:$C$8,3,0)*C21</f>
        <v>363120</v>
      </c>
      <c r="E21" s="5">
        <f>ROUNDUP(D21*INDEX(テーブル!$F$4:$H$6,MATCH(D21,テーブル!$E$4:$E$6,1),MATCH(MOD(A21,10),テーブル!$F$3:$H$3,0)),-1)</f>
        <v>21430</v>
      </c>
      <c r="F21" s="30">
        <f t="shared" si="0"/>
        <v>384550</v>
      </c>
      <c r="G21" s="31">
        <f t="shared" si="1"/>
        <v>4</v>
      </c>
    </row>
    <row r="22" spans="1:8">
      <c r="A22" s="10">
        <v>103</v>
      </c>
      <c r="B22" s="29" t="str">
        <f>VLOOKUP(A22,テーブル!$A$3:$C$8,2,0)</f>
        <v>Ｆ商品</v>
      </c>
      <c r="C22" s="30">
        <v>125</v>
      </c>
      <c r="D22" s="30">
        <f>VLOOKUP(A22,テーブル!$A$3:$C$8,3,0)*C22</f>
        <v>492500</v>
      </c>
      <c r="E22" s="5">
        <f>ROUNDUP(D22*INDEX(テーブル!$F$4:$H$6,MATCH(D22,テーブル!$E$4:$E$6,1),MATCH(MOD(A22,10),テーブル!$F$3:$H$3,0)),-1)</f>
        <v>23150</v>
      </c>
      <c r="F22" s="30">
        <f t="shared" si="0"/>
        <v>515650</v>
      </c>
      <c r="G22" s="31">
        <f t="shared" si="1"/>
        <v>5</v>
      </c>
    </row>
    <row r="23" spans="1:8">
      <c r="A23" s="10">
        <v>201</v>
      </c>
      <c r="B23" s="29" t="str">
        <f>VLOOKUP(A23,テーブル!$A$3:$C$8,2,0)</f>
        <v>Ｇ商品</v>
      </c>
      <c r="C23" s="30">
        <v>139</v>
      </c>
      <c r="D23" s="30">
        <f>VLOOKUP(A23,テーブル!$A$3:$C$8,3,0)*C23</f>
        <v>587970</v>
      </c>
      <c r="E23" s="5">
        <f>ROUNDUP(D23*INDEX(テーブル!$F$4:$H$6,MATCH(D23,テーブル!$E$4:$E$6,1),MATCH(MOD(A23,10),テーブル!$F$3:$H$3,0)),-1)</f>
        <v>26460</v>
      </c>
      <c r="F23" s="30">
        <f t="shared" si="0"/>
        <v>614430</v>
      </c>
      <c r="G23" s="31">
        <f t="shared" si="1"/>
        <v>7</v>
      </c>
    </row>
    <row r="24" spans="1:8">
      <c r="A24" s="28">
        <v>202</v>
      </c>
      <c r="B24" s="29" t="str">
        <f>VLOOKUP(A24,テーブル!$A$3:$C$8,2,0)</f>
        <v>Ｈ商品</v>
      </c>
      <c r="C24" s="30">
        <v>93</v>
      </c>
      <c r="D24" s="30">
        <f>VLOOKUP(A24,テーブル!$A$3:$C$8,3,0)*C24</f>
        <v>419430</v>
      </c>
      <c r="E24" s="5">
        <f>ROUNDUP(D24*INDEX(テーブル!$F$4:$H$6,MATCH(D24,テーブル!$E$4:$E$6,1),MATCH(MOD(A24,10),テーブル!$F$3:$H$3,0)),-1)</f>
        <v>20980</v>
      </c>
      <c r="F24" s="30">
        <f t="shared" si="0"/>
        <v>440410</v>
      </c>
      <c r="G24" s="31">
        <f t="shared" si="1"/>
        <v>4</v>
      </c>
    </row>
    <row r="25" spans="1:8">
      <c r="A25" s="28">
        <v>203</v>
      </c>
      <c r="B25" s="29" t="str">
        <f>VLOOKUP(A25,テーブル!$A$3:$C$8,2,0)</f>
        <v>Ｉ商品</v>
      </c>
      <c r="C25" s="30">
        <v>149</v>
      </c>
      <c r="D25" s="30">
        <f>VLOOKUP(A25,テーブル!$A$3:$C$8,3,0)*C25</f>
        <v>724140</v>
      </c>
      <c r="E25" s="5">
        <f>ROUNDUP(D25*INDEX(テーブル!$F$4:$H$6,MATCH(D25,テーブル!$E$4:$E$6,1),MATCH(MOD(A25,10),テーブル!$F$3:$H$3,0)),-1)</f>
        <v>28250</v>
      </c>
      <c r="F25" s="30">
        <f t="shared" si="0"/>
        <v>752390</v>
      </c>
      <c r="G25" s="31">
        <f t="shared" si="1"/>
        <v>8</v>
      </c>
    </row>
    <row r="26" spans="1:8">
      <c r="A26" s="28"/>
      <c r="B26" s="29"/>
      <c r="C26" s="30"/>
      <c r="D26" s="30"/>
      <c r="E26" s="30"/>
      <c r="F26" s="30"/>
      <c r="G26" s="31"/>
    </row>
    <row r="27" spans="1:8" ht="14.25" thickBot="1">
      <c r="A27" s="32"/>
      <c r="B27" s="33" t="s">
        <v>7</v>
      </c>
      <c r="C27" s="34">
        <f>SUM(C2:C25)</f>
        <v>3026</v>
      </c>
      <c r="D27" s="34">
        <f t="shared" ref="D27:G27" si="2">SUM(D2:D25)</f>
        <v>12225230</v>
      </c>
      <c r="E27" s="34">
        <f t="shared" si="2"/>
        <v>577390</v>
      </c>
      <c r="F27" s="34">
        <f t="shared" si="2"/>
        <v>12802620</v>
      </c>
      <c r="G27" s="35">
        <f t="shared" si="2"/>
        <v>139</v>
      </c>
      <c r="H27" t="s">
        <v>66</v>
      </c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C2EDE-920D-4F47-B286-E957D811BA6F}">
  <dimension ref="A1:H13"/>
  <sheetViews>
    <sheetView zoomScaleNormal="100" workbookViewId="0">
      <selection sqref="A1:G1"/>
    </sheetView>
  </sheetViews>
  <sheetFormatPr defaultRowHeight="13.5"/>
  <cols>
    <col min="1" max="3" width="7.5" bestFit="1" customWidth="1"/>
    <col min="4" max="4" width="11.625" bestFit="1" customWidth="1"/>
    <col min="5" max="6" width="7.5" bestFit="1" customWidth="1"/>
    <col min="7" max="7" width="6.5" bestFit="1" customWidth="1"/>
  </cols>
  <sheetData>
    <row r="1" spans="1:8" ht="14.25" thickBot="1">
      <c r="A1" s="58" t="s">
        <v>8</v>
      </c>
      <c r="B1" s="58"/>
      <c r="C1" s="58"/>
      <c r="D1" s="58"/>
      <c r="E1" s="58"/>
      <c r="F1" s="58"/>
      <c r="G1" s="58"/>
    </row>
    <row r="2" spans="1:8">
      <c r="A2" s="7" t="s">
        <v>0</v>
      </c>
      <c r="B2" s="8" t="s">
        <v>1</v>
      </c>
      <c r="C2" s="8" t="s">
        <v>2</v>
      </c>
      <c r="D2" s="8" t="s">
        <v>61</v>
      </c>
      <c r="E2" s="8" t="s">
        <v>4</v>
      </c>
      <c r="F2" s="8" t="s">
        <v>9</v>
      </c>
      <c r="G2" s="9" t="s">
        <v>10</v>
      </c>
    </row>
    <row r="3" spans="1:8">
      <c r="A3" s="2">
        <v>101</v>
      </c>
      <c r="B3" s="2" t="str">
        <f>VLOOKUP(A3,テーブル!$A$3:$C$8,2,0)</f>
        <v>Ｄ商品</v>
      </c>
      <c r="C3" s="3">
        <f>DSUM(仕入データ表!$A$1:$G$25,C$2,$A$12:$A$13)</f>
        <v>590</v>
      </c>
      <c r="D3" s="3">
        <f>DSUM(仕入データ表!$A$1:$G$25,D$2,$A$12:$A$13)</f>
        <v>2037090</v>
      </c>
      <c r="E3" s="3">
        <f>DSUM(仕入データ表!$A$1:$G$25,E$2,$A$12:$A$13)</f>
        <v>29</v>
      </c>
      <c r="F3" s="4">
        <f>VLOOKUP(D3,テーブル!$J$3:$K$5,2,1)</f>
        <v>0.28000000000000003</v>
      </c>
      <c r="G3" s="11">
        <f>ROUNDUP(D3/(C3+E3)*(1+F3),-1)</f>
        <v>4220</v>
      </c>
    </row>
    <row r="4" spans="1:8">
      <c r="A4" s="2">
        <v>102</v>
      </c>
      <c r="B4" s="2" t="str">
        <f>VLOOKUP(A4,テーブル!$A$3:$C$8,2,0)</f>
        <v>Ｅ商品</v>
      </c>
      <c r="C4" s="3">
        <f>DSUM(仕入データ表!$A$1:$G$25,C$2,$B$12:$B$13)</f>
        <v>452</v>
      </c>
      <c r="D4" s="3">
        <f>DSUM(仕入データ表!$A$1:$G$25,D$2,$B$12:$B$13)</f>
        <v>1696100</v>
      </c>
      <c r="E4" s="3">
        <f>DSUM(仕入データ表!$A$1:$G$25,E$2,$B$12:$B$13)</f>
        <v>18</v>
      </c>
      <c r="F4" s="4">
        <f>VLOOKUP(D4,テーブル!$J$3:$K$5,2,1)</f>
        <v>0.28999999999999998</v>
      </c>
      <c r="G4" s="11">
        <f>ROUNDUP(D4/(C4+E4)*(1+F4),-1)</f>
        <v>4660</v>
      </c>
    </row>
    <row r="5" spans="1:8">
      <c r="A5" s="2">
        <v>103</v>
      </c>
      <c r="B5" s="2" t="str">
        <f>VLOOKUP(A5,テーブル!$A$3:$C$8,2,0)</f>
        <v>Ｆ商品</v>
      </c>
      <c r="C5" s="3">
        <f>DSUM(仕入データ表!$A$1:$G$25,C$2,$C$12:$C$13)</f>
        <v>513</v>
      </c>
      <c r="D5" s="3">
        <f>DSUM(仕入データ表!$A$1:$G$25,D$2,$C$12:$C$13)</f>
        <v>2107320</v>
      </c>
      <c r="E5" s="3">
        <f>DSUM(仕入データ表!$A$1:$G$25,E$2,$C$12:$C$13)</f>
        <v>24</v>
      </c>
      <c r="F5" s="4">
        <f>VLOOKUP(D5,テーブル!$J$3:$K$5,2,1)</f>
        <v>0.28000000000000003</v>
      </c>
      <c r="G5" s="11">
        <f>ROUNDUP(D5/(C5+E5)*(1+F5),-1)</f>
        <v>5030</v>
      </c>
    </row>
    <row r="6" spans="1:8">
      <c r="A6" s="2">
        <v>201</v>
      </c>
      <c r="B6" s="2" t="str">
        <f>VLOOKUP(A6,テーブル!$A$3:$C$8,2,0)</f>
        <v>Ｇ商品</v>
      </c>
      <c r="C6" s="3">
        <f>DSUM(仕入データ表!$A$1:$G$25,C$2,$D$12:$D$13)</f>
        <v>489</v>
      </c>
      <c r="D6" s="3">
        <f>DSUM(仕入データ表!$A$1:$G$25,D$2,$D$12:$D$13)</f>
        <v>2169750</v>
      </c>
      <c r="E6" s="3">
        <f>DSUM(仕入データ表!$A$1:$G$25,E$2,$D$12:$D$13)</f>
        <v>23</v>
      </c>
      <c r="F6" s="4">
        <f>VLOOKUP(D6,テーブル!$J$3:$K$5,2,1)</f>
        <v>0.28000000000000003</v>
      </c>
      <c r="G6" s="11">
        <f>ROUNDUP(D6/(C6+E6)*(1+F6),-1)</f>
        <v>5430</v>
      </c>
    </row>
    <row r="7" spans="1:8">
      <c r="A7" s="29">
        <v>202</v>
      </c>
      <c r="B7" s="2" t="str">
        <f>VLOOKUP(A7,テーブル!$A$3:$C$8,2,0)</f>
        <v>Ｈ商品</v>
      </c>
      <c r="C7" s="3">
        <f>DSUM(仕入データ表!$A$1:$G$25,C$2,$E$12:$E$13)</f>
        <v>518</v>
      </c>
      <c r="D7" s="3">
        <f>DSUM(仕入データ表!$A$1:$G$25,D$2,$E$12:$E$13)</f>
        <v>2439780</v>
      </c>
      <c r="E7" s="3">
        <f>DSUM(仕入データ表!$A$1:$G$25,E$2,$E$12:$E$13)</f>
        <v>23</v>
      </c>
      <c r="F7" s="4">
        <f>VLOOKUP(D7,テーブル!$J$3:$K$5,2,1)</f>
        <v>0.27</v>
      </c>
      <c r="G7" s="11">
        <f t="shared" ref="G7:G8" si="0">ROUNDUP(D7/(C7+E7)*(1+F7),-1)</f>
        <v>5730</v>
      </c>
    </row>
    <row r="8" spans="1:8">
      <c r="A8" s="29">
        <v>203</v>
      </c>
      <c r="B8" s="2" t="str">
        <f>VLOOKUP(A8,テーブル!$A$3:$C$8,2,0)</f>
        <v>Ｉ商品</v>
      </c>
      <c r="C8" s="3">
        <f>DSUM(仕入データ表!$A$1:$G$25,C$2,$F$12:$F$13)</f>
        <v>464</v>
      </c>
      <c r="D8" s="3">
        <f>DSUM(仕入データ表!$A$1:$G$25,D$2,$F$12:$F$13)</f>
        <v>2352580</v>
      </c>
      <c r="E8" s="3">
        <f>DSUM(仕入データ表!$A$1:$G$25,E$2,$F$12:$F$13)</f>
        <v>22</v>
      </c>
      <c r="F8" s="4">
        <f>VLOOKUP(D8,テーブル!$J$3:$K$5,2,1)</f>
        <v>0.27</v>
      </c>
      <c r="G8" s="11">
        <f t="shared" si="0"/>
        <v>6150</v>
      </c>
    </row>
    <row r="9" spans="1:8">
      <c r="A9" s="10"/>
      <c r="B9" s="2"/>
      <c r="C9" s="3"/>
      <c r="D9" s="3"/>
      <c r="E9" s="3"/>
      <c r="F9" s="2"/>
      <c r="G9" s="12"/>
    </row>
    <row r="10" spans="1:8" ht="14.25" thickBot="1">
      <c r="A10" s="13"/>
      <c r="B10" s="14" t="s">
        <v>7</v>
      </c>
      <c r="C10" s="15">
        <f>SUM(C3:C8)</f>
        <v>3026</v>
      </c>
      <c r="D10" s="15">
        <f>SUM(D3:D8)</f>
        <v>12802620</v>
      </c>
      <c r="E10" s="15">
        <f>SUM(E3:E8)</f>
        <v>139</v>
      </c>
      <c r="F10" s="16"/>
      <c r="G10" s="17"/>
      <c r="H10" t="s">
        <v>66</v>
      </c>
    </row>
    <row r="11" spans="1:8" ht="14.25" thickBot="1"/>
    <row r="12" spans="1:8">
      <c r="A12" s="46" t="s">
        <v>0</v>
      </c>
      <c r="B12" s="18" t="s">
        <v>0</v>
      </c>
      <c r="C12" s="18" t="s">
        <v>0</v>
      </c>
      <c r="D12" s="18" t="s">
        <v>0</v>
      </c>
      <c r="E12" s="18" t="s">
        <v>0</v>
      </c>
      <c r="F12" s="48" t="s">
        <v>0</v>
      </c>
    </row>
    <row r="13" spans="1:8" ht="14.25" thickBot="1">
      <c r="A13" s="47">
        <v>101</v>
      </c>
      <c r="B13" s="19">
        <v>102</v>
      </c>
      <c r="C13" s="19">
        <v>103</v>
      </c>
      <c r="D13" s="19">
        <v>201</v>
      </c>
      <c r="E13" s="50">
        <v>202</v>
      </c>
      <c r="F13" s="49">
        <v>203</v>
      </c>
    </row>
  </sheetData>
  <mergeCells count="1">
    <mergeCell ref="A1:G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3"/>
  <sheetViews>
    <sheetView zoomScaleNormal="100" workbookViewId="0"/>
  </sheetViews>
  <sheetFormatPr defaultRowHeight="13.5"/>
  <cols>
    <col min="1" max="1" width="7.5" bestFit="1" customWidth="1"/>
    <col min="2" max="2" width="9.5" bestFit="1" customWidth="1"/>
    <col min="3" max="5" width="7.5" bestFit="1" customWidth="1"/>
    <col min="6" max="6" width="6.5" bestFit="1" customWidth="1"/>
    <col min="7" max="7" width="11.625" bestFit="1" customWidth="1"/>
  </cols>
  <sheetData>
    <row r="1" spans="1:7">
      <c r="A1" s="25" t="s">
        <v>43</v>
      </c>
      <c r="B1" s="26" t="s">
        <v>45</v>
      </c>
      <c r="C1" s="26" t="s">
        <v>0</v>
      </c>
      <c r="D1" s="26" t="s">
        <v>1</v>
      </c>
      <c r="E1" s="26" t="s">
        <v>51</v>
      </c>
      <c r="F1" s="26" t="s">
        <v>12</v>
      </c>
      <c r="G1" s="27" t="s">
        <v>60</v>
      </c>
    </row>
    <row r="2" spans="1:7">
      <c r="A2" s="28" t="s">
        <v>19</v>
      </c>
      <c r="B2" s="29" t="str">
        <f>VLOOKUP(A2,テーブル!$M$3:$N$10,2,0)</f>
        <v>山田企画</v>
      </c>
      <c r="C2" s="2">
        <v>101</v>
      </c>
      <c r="D2" s="29" t="str">
        <f>VLOOKUP(C2,テーブル!$A$3:$C$8,2,0)</f>
        <v>Ｄ商品</v>
      </c>
      <c r="E2" s="42">
        <v>105</v>
      </c>
      <c r="F2" s="36">
        <f>ROUNDDOWN(IF(E2&lt;130,VLOOKUP(C2,定価計算表!$A$3:$G$8,7,0)*0.92,VLOOKUP(C2,定価計算表!$A$3:$G$8,7,0)*0.88),0)</f>
        <v>3882</v>
      </c>
      <c r="G2" s="20">
        <f t="shared" ref="G2:G25" si="0">F2*E2</f>
        <v>407610</v>
      </c>
    </row>
    <row r="3" spans="1:7">
      <c r="A3" s="28" t="s">
        <v>19</v>
      </c>
      <c r="B3" s="29" t="str">
        <f>VLOOKUP(A3,テーブル!$M$3:$N$10,2,0)</f>
        <v>山田企画</v>
      </c>
      <c r="C3" s="2">
        <v>102</v>
      </c>
      <c r="D3" s="29" t="str">
        <f>VLOOKUP(C3,テーブル!$A$3:$C$8,2,0)</f>
        <v>Ｅ商品</v>
      </c>
      <c r="E3" s="42">
        <v>129</v>
      </c>
      <c r="F3" s="36">
        <f>ROUNDDOWN(IF(E3&lt;130,VLOOKUP(C3,定価計算表!$A$3:$G$8,7,0)*0.92,VLOOKUP(C3,定価計算表!$A$3:$G$8,7,0)*0.88),0)</f>
        <v>4287</v>
      </c>
      <c r="G3" s="20">
        <f t="shared" si="0"/>
        <v>553023</v>
      </c>
    </row>
    <row r="4" spans="1:7">
      <c r="A4" s="28" t="s">
        <v>19</v>
      </c>
      <c r="B4" s="29" t="str">
        <f>VLOOKUP(A4,テーブル!$M$3:$N$10,2,0)</f>
        <v>山田企画</v>
      </c>
      <c r="C4" s="2">
        <v>202</v>
      </c>
      <c r="D4" s="29" t="str">
        <f>VLOOKUP(C4,テーブル!$A$3:$C$8,2,0)</f>
        <v>Ｈ商品</v>
      </c>
      <c r="E4" s="42">
        <v>148</v>
      </c>
      <c r="F4" s="36">
        <f>ROUNDDOWN(IF(E4&lt;130,VLOOKUP(C4,定価計算表!$A$3:$G$8,7,0)*0.92,VLOOKUP(C4,定価計算表!$A$3:$G$8,7,0)*0.88),0)</f>
        <v>5042</v>
      </c>
      <c r="G4" s="20">
        <f t="shared" si="0"/>
        <v>746216</v>
      </c>
    </row>
    <row r="5" spans="1:7">
      <c r="A5" s="28" t="s">
        <v>21</v>
      </c>
      <c r="B5" s="29" t="str">
        <f>VLOOKUP(A5,テーブル!$M$3:$N$10,2,0)</f>
        <v>杉山物産</v>
      </c>
      <c r="C5" s="2">
        <v>103</v>
      </c>
      <c r="D5" s="29" t="str">
        <f>VLOOKUP(C5,テーブル!$A$3:$C$8,2,0)</f>
        <v>Ｆ商品</v>
      </c>
      <c r="E5" s="42">
        <v>194</v>
      </c>
      <c r="F5" s="36">
        <f>ROUNDDOWN(IF(E5&lt;130,VLOOKUP(C5,定価計算表!$A$3:$G$8,7,0)*0.92,VLOOKUP(C5,定価計算表!$A$3:$G$8,7,0)*0.88),0)</f>
        <v>4426</v>
      </c>
      <c r="G5" s="20">
        <f t="shared" si="0"/>
        <v>858644</v>
      </c>
    </row>
    <row r="6" spans="1:7">
      <c r="A6" s="28" t="s">
        <v>21</v>
      </c>
      <c r="B6" s="29" t="str">
        <f>VLOOKUP(A6,テーブル!$M$3:$N$10,2,0)</f>
        <v>杉山物産</v>
      </c>
      <c r="C6" s="2">
        <v>201</v>
      </c>
      <c r="D6" s="29" t="str">
        <f>VLOOKUP(C6,テーブル!$A$3:$C$8,2,0)</f>
        <v>Ｇ商品</v>
      </c>
      <c r="E6" s="42">
        <v>95</v>
      </c>
      <c r="F6" s="36">
        <f>ROUNDDOWN(IF(E6&lt;130,VLOOKUP(C6,定価計算表!$A$3:$G$8,7,0)*0.92,VLOOKUP(C6,定価計算表!$A$3:$G$8,7,0)*0.88),0)</f>
        <v>4995</v>
      </c>
      <c r="G6" s="20">
        <f t="shared" si="0"/>
        <v>474525</v>
      </c>
    </row>
    <row r="7" spans="1:7">
      <c r="A7" s="28" t="s">
        <v>21</v>
      </c>
      <c r="B7" s="29" t="str">
        <f>VLOOKUP(A7,テーブル!$M$3:$N$10,2,0)</f>
        <v>杉山物産</v>
      </c>
      <c r="C7" s="2">
        <v>203</v>
      </c>
      <c r="D7" s="29" t="str">
        <f>VLOOKUP(C7,テーブル!$A$3:$C$8,2,0)</f>
        <v>Ｉ商品</v>
      </c>
      <c r="E7" s="42">
        <v>89</v>
      </c>
      <c r="F7" s="36">
        <f>ROUNDDOWN(IF(E7&lt;130,VLOOKUP(C7,定価計算表!$A$3:$G$8,7,0)*0.92,VLOOKUP(C7,定価計算表!$A$3:$G$8,7,0)*0.88),0)</f>
        <v>5658</v>
      </c>
      <c r="G7" s="20">
        <f t="shared" si="0"/>
        <v>503562</v>
      </c>
    </row>
    <row r="8" spans="1:7">
      <c r="A8" s="28" t="s">
        <v>23</v>
      </c>
      <c r="B8" s="29" t="str">
        <f>VLOOKUP(A8,テーブル!$M$3:$N$10,2,0)</f>
        <v>ヤマモト</v>
      </c>
      <c r="C8" s="2">
        <v>102</v>
      </c>
      <c r="D8" s="29" t="str">
        <f>VLOOKUP(C8,テーブル!$A$3:$C$8,2,0)</f>
        <v>Ｅ商品</v>
      </c>
      <c r="E8" s="42">
        <v>129</v>
      </c>
      <c r="F8" s="36">
        <f>ROUNDDOWN(IF(E8&lt;130,VLOOKUP(C8,定価計算表!$A$3:$G$8,7,0)*0.92,VLOOKUP(C8,定価計算表!$A$3:$G$8,7,0)*0.88),0)</f>
        <v>4287</v>
      </c>
      <c r="G8" s="20">
        <f t="shared" si="0"/>
        <v>553023</v>
      </c>
    </row>
    <row r="9" spans="1:7">
      <c r="A9" s="28" t="s">
        <v>23</v>
      </c>
      <c r="B9" s="29" t="str">
        <f>VLOOKUP(A9,テーブル!$M$3:$N$10,2,0)</f>
        <v>ヤマモト</v>
      </c>
      <c r="C9" s="2">
        <v>201</v>
      </c>
      <c r="D9" s="29" t="str">
        <f>VLOOKUP(C9,テーブル!$A$3:$C$8,2,0)</f>
        <v>Ｇ商品</v>
      </c>
      <c r="E9" s="42">
        <v>83</v>
      </c>
      <c r="F9" s="36">
        <f>ROUNDDOWN(IF(E9&lt;130,VLOOKUP(C9,定価計算表!$A$3:$G$8,7,0)*0.92,VLOOKUP(C9,定価計算表!$A$3:$G$8,7,0)*0.88),0)</f>
        <v>4995</v>
      </c>
      <c r="G9" s="20">
        <f t="shared" si="0"/>
        <v>414585</v>
      </c>
    </row>
    <row r="10" spans="1:7">
      <c r="A10" s="28" t="s">
        <v>23</v>
      </c>
      <c r="B10" s="29" t="str">
        <f>VLOOKUP(A10,テーブル!$M$3:$N$10,2,0)</f>
        <v>ヤマモト</v>
      </c>
      <c r="C10" s="2">
        <v>202</v>
      </c>
      <c r="D10" s="29" t="str">
        <f>VLOOKUP(C10,テーブル!$A$3:$C$8,2,0)</f>
        <v>Ｈ商品</v>
      </c>
      <c r="E10" s="42">
        <v>165</v>
      </c>
      <c r="F10" s="36">
        <f>ROUNDDOWN(IF(E10&lt;130,VLOOKUP(C10,定価計算表!$A$3:$G$8,7,0)*0.92,VLOOKUP(C10,定価計算表!$A$3:$G$8,7,0)*0.88),0)</f>
        <v>5042</v>
      </c>
      <c r="G10" s="20">
        <f t="shared" si="0"/>
        <v>831930</v>
      </c>
    </row>
    <row r="11" spans="1:7">
      <c r="A11" s="28" t="s">
        <v>25</v>
      </c>
      <c r="B11" s="29" t="str">
        <f>VLOOKUP(A11,テーブル!$M$3:$N$10,2,0)</f>
        <v>野村商店</v>
      </c>
      <c r="C11" s="2">
        <v>103</v>
      </c>
      <c r="D11" s="29" t="str">
        <f>VLOOKUP(C11,テーブル!$A$3:$C$8,2,0)</f>
        <v>Ｆ商品</v>
      </c>
      <c r="E11" s="42">
        <v>108</v>
      </c>
      <c r="F11" s="36">
        <f>ROUNDDOWN(IF(E11&lt;130,VLOOKUP(C11,定価計算表!$A$3:$G$8,7,0)*0.92,VLOOKUP(C11,定価計算表!$A$3:$G$8,7,0)*0.88),0)</f>
        <v>4627</v>
      </c>
      <c r="G11" s="20">
        <f t="shared" si="0"/>
        <v>499716</v>
      </c>
    </row>
    <row r="12" spans="1:7">
      <c r="A12" s="28" t="s">
        <v>25</v>
      </c>
      <c r="B12" s="29" t="str">
        <f>VLOOKUP(A12,テーブル!$M$3:$N$10,2,0)</f>
        <v>野村商店</v>
      </c>
      <c r="C12" s="2">
        <v>103</v>
      </c>
      <c r="D12" s="29" t="str">
        <f>VLOOKUP(C12,テーブル!$A$3:$C$8,2,0)</f>
        <v>Ｆ商品</v>
      </c>
      <c r="E12" s="42">
        <v>128</v>
      </c>
      <c r="F12" s="36">
        <f>ROUNDDOWN(IF(E12&lt;130,VLOOKUP(C12,定価計算表!$A$3:$G$8,7,0)*0.92,VLOOKUP(C12,定価計算表!$A$3:$G$8,7,0)*0.88),0)</f>
        <v>4627</v>
      </c>
      <c r="G12" s="20">
        <f t="shared" si="0"/>
        <v>592256</v>
      </c>
    </row>
    <row r="13" spans="1:7">
      <c r="A13" s="28" t="s">
        <v>25</v>
      </c>
      <c r="B13" s="29" t="str">
        <f>VLOOKUP(A13,テーブル!$M$3:$N$10,2,0)</f>
        <v>野村商店</v>
      </c>
      <c r="C13" s="2">
        <v>201</v>
      </c>
      <c r="D13" s="29" t="str">
        <f>VLOOKUP(C13,テーブル!$A$3:$C$8,2,0)</f>
        <v>Ｇ商品</v>
      </c>
      <c r="E13" s="42">
        <v>130</v>
      </c>
      <c r="F13" s="36">
        <f>ROUNDDOWN(IF(E13&lt;130,VLOOKUP(C13,定価計算表!$A$3:$G$8,7,0)*0.92,VLOOKUP(C13,定価計算表!$A$3:$G$8,7,0)*0.88),0)</f>
        <v>4778</v>
      </c>
      <c r="G13" s="20">
        <f t="shared" si="0"/>
        <v>621140</v>
      </c>
    </row>
    <row r="14" spans="1:7">
      <c r="A14" s="28" t="s">
        <v>27</v>
      </c>
      <c r="B14" s="29" t="str">
        <f>VLOOKUP(A14,テーブル!$M$3:$N$10,2,0)</f>
        <v>石原総業</v>
      </c>
      <c r="C14" s="2">
        <v>101</v>
      </c>
      <c r="D14" s="29" t="str">
        <f>VLOOKUP(C14,テーブル!$A$3:$C$8,2,0)</f>
        <v>Ｄ商品</v>
      </c>
      <c r="E14" s="42">
        <v>180</v>
      </c>
      <c r="F14" s="36">
        <f>ROUNDDOWN(IF(E14&lt;130,VLOOKUP(C14,定価計算表!$A$3:$G$8,7,0)*0.92,VLOOKUP(C14,定価計算表!$A$3:$G$8,7,0)*0.88),0)</f>
        <v>3713</v>
      </c>
      <c r="G14" s="20">
        <f t="shared" si="0"/>
        <v>668340</v>
      </c>
    </row>
    <row r="15" spans="1:7">
      <c r="A15" s="28" t="s">
        <v>27</v>
      </c>
      <c r="B15" s="29" t="str">
        <f>VLOOKUP(A15,テーブル!$M$3:$N$10,2,0)</f>
        <v>石原総業</v>
      </c>
      <c r="C15" s="2">
        <v>102</v>
      </c>
      <c r="D15" s="29" t="str">
        <f>VLOOKUP(C15,テーブル!$A$3:$C$8,2,0)</f>
        <v>Ｅ商品</v>
      </c>
      <c r="E15" s="42">
        <v>148</v>
      </c>
      <c r="F15" s="36">
        <f>ROUNDDOWN(IF(E15&lt;130,VLOOKUP(C15,定価計算表!$A$3:$G$8,7,0)*0.92,VLOOKUP(C15,定価計算表!$A$3:$G$8,7,0)*0.88),0)</f>
        <v>4100</v>
      </c>
      <c r="G15" s="20">
        <f t="shared" si="0"/>
        <v>606800</v>
      </c>
    </row>
    <row r="16" spans="1:7">
      <c r="A16" s="28" t="s">
        <v>27</v>
      </c>
      <c r="B16" s="29" t="str">
        <f>VLOOKUP(A16,テーブル!$M$3:$N$10,2,0)</f>
        <v>石原総業</v>
      </c>
      <c r="C16" s="2">
        <v>203</v>
      </c>
      <c r="D16" s="29" t="str">
        <f>VLOOKUP(C16,テーブル!$A$3:$C$8,2,0)</f>
        <v>Ｉ商品</v>
      </c>
      <c r="E16" s="42">
        <v>77</v>
      </c>
      <c r="F16" s="36">
        <f>ROUNDDOWN(IF(E16&lt;130,VLOOKUP(C16,定価計算表!$A$3:$G$8,7,0)*0.92,VLOOKUP(C16,定価計算表!$A$3:$G$8,7,0)*0.88),0)</f>
        <v>5658</v>
      </c>
      <c r="G16" s="20">
        <f t="shared" si="0"/>
        <v>435666</v>
      </c>
    </row>
    <row r="17" spans="1:8">
      <c r="A17" s="28" t="s">
        <v>29</v>
      </c>
      <c r="B17" s="29" t="str">
        <f>VLOOKUP(A17,テーブル!$M$3:$N$10,2,0)</f>
        <v>ＳＫＨＤ</v>
      </c>
      <c r="C17" s="2">
        <v>101</v>
      </c>
      <c r="D17" s="29" t="str">
        <f>VLOOKUP(C17,テーブル!$A$3:$C$8,2,0)</f>
        <v>Ｄ商品</v>
      </c>
      <c r="E17" s="42">
        <v>160</v>
      </c>
      <c r="F17" s="36">
        <f>ROUNDDOWN(IF(E17&lt;130,VLOOKUP(C17,定価計算表!$A$3:$G$8,7,0)*0.92,VLOOKUP(C17,定価計算表!$A$3:$G$8,7,0)*0.88),0)</f>
        <v>3713</v>
      </c>
      <c r="G17" s="20">
        <f t="shared" si="0"/>
        <v>594080</v>
      </c>
    </row>
    <row r="18" spans="1:8">
      <c r="A18" s="28" t="s">
        <v>29</v>
      </c>
      <c r="B18" s="29" t="str">
        <f>VLOOKUP(A18,テーブル!$M$3:$N$10,2,0)</f>
        <v>ＳＫＨＤ</v>
      </c>
      <c r="C18" s="2">
        <v>103</v>
      </c>
      <c r="D18" s="29" t="str">
        <f>VLOOKUP(C18,テーブル!$A$3:$C$8,2,0)</f>
        <v>Ｆ商品</v>
      </c>
      <c r="E18" s="42">
        <v>123</v>
      </c>
      <c r="F18" s="36">
        <f>ROUNDDOWN(IF(E18&lt;130,VLOOKUP(C18,定価計算表!$A$3:$G$8,7,0)*0.92,VLOOKUP(C18,定価計算表!$A$3:$G$8,7,0)*0.88),0)</f>
        <v>4627</v>
      </c>
      <c r="G18" s="20">
        <f t="shared" si="0"/>
        <v>569121</v>
      </c>
    </row>
    <row r="19" spans="1:8">
      <c r="A19" s="28" t="s">
        <v>29</v>
      </c>
      <c r="B19" s="29" t="str">
        <f>VLOOKUP(A19,テーブル!$M$3:$N$10,2,0)</f>
        <v>ＳＫＨＤ</v>
      </c>
      <c r="C19" s="2">
        <v>203</v>
      </c>
      <c r="D19" s="29" t="str">
        <f>VLOOKUP(C19,テーブル!$A$3:$C$8,2,0)</f>
        <v>Ｉ商品</v>
      </c>
      <c r="E19" s="42">
        <v>137</v>
      </c>
      <c r="F19" s="36">
        <f>ROUNDDOWN(IF(E19&lt;130,VLOOKUP(C19,定価計算表!$A$3:$G$8,7,0)*0.92,VLOOKUP(C19,定価計算表!$A$3:$G$8,7,0)*0.88),0)</f>
        <v>5412</v>
      </c>
      <c r="G19" s="20">
        <f t="shared" si="0"/>
        <v>741444</v>
      </c>
    </row>
    <row r="20" spans="1:8">
      <c r="A20" s="28" t="s">
        <v>31</v>
      </c>
      <c r="B20" s="29" t="str">
        <f>VLOOKUP(A20,テーブル!$M$3:$N$10,2,0)</f>
        <v>東北商会</v>
      </c>
      <c r="C20" s="2">
        <v>101</v>
      </c>
      <c r="D20" s="29" t="str">
        <f>VLOOKUP(C20,テーブル!$A$3:$C$8,2,0)</f>
        <v>Ｄ商品</v>
      </c>
      <c r="E20" s="45">
        <v>110</v>
      </c>
      <c r="F20" s="36">
        <f>ROUNDDOWN(IF(E20&lt;130,VLOOKUP(C20,定価計算表!$A$3:$G$8,7,0)*0.92,VLOOKUP(C20,定価計算表!$A$3:$G$8,7,0)*0.88),0)</f>
        <v>3882</v>
      </c>
      <c r="G20" s="20">
        <f t="shared" si="0"/>
        <v>427020</v>
      </c>
    </row>
    <row r="21" spans="1:8">
      <c r="A21" s="28" t="s">
        <v>31</v>
      </c>
      <c r="B21" s="29" t="str">
        <f>VLOOKUP(A21,テーブル!$M$3:$N$10,2,0)</f>
        <v>東北商会</v>
      </c>
      <c r="C21" s="2">
        <v>202</v>
      </c>
      <c r="D21" s="29" t="str">
        <f>VLOOKUP(C21,テーブル!$A$3:$C$8,2,0)</f>
        <v>Ｈ商品</v>
      </c>
      <c r="E21" s="45">
        <v>115</v>
      </c>
      <c r="F21" s="36">
        <f>ROUNDDOWN(IF(E21&lt;130,VLOOKUP(C21,定価計算表!$A$3:$G$8,7,0)*0.92,VLOOKUP(C21,定価計算表!$A$3:$G$8,7,0)*0.88),0)</f>
        <v>5271</v>
      </c>
      <c r="G21" s="20">
        <f t="shared" si="0"/>
        <v>606165</v>
      </c>
    </row>
    <row r="22" spans="1:8">
      <c r="A22" s="28" t="s">
        <v>31</v>
      </c>
      <c r="B22" s="29" t="str">
        <f>VLOOKUP(A22,テーブル!$M$3:$N$10,2,0)</f>
        <v>東北商会</v>
      </c>
      <c r="C22" s="2">
        <v>203</v>
      </c>
      <c r="D22" s="29" t="str">
        <f>VLOOKUP(C22,テーブル!$A$3:$C$8,2,0)</f>
        <v>Ｉ商品</v>
      </c>
      <c r="E22" s="45">
        <v>135</v>
      </c>
      <c r="F22" s="36">
        <f>ROUNDDOWN(IF(E22&lt;130,VLOOKUP(C22,定価計算表!$A$3:$G$8,7,0)*0.92,VLOOKUP(C22,定価計算表!$A$3:$G$8,7,0)*0.88),0)</f>
        <v>5412</v>
      </c>
      <c r="G22" s="20">
        <f t="shared" si="0"/>
        <v>730620</v>
      </c>
    </row>
    <row r="23" spans="1:8">
      <c r="A23" s="28" t="s">
        <v>33</v>
      </c>
      <c r="B23" s="29" t="str">
        <f>VLOOKUP(A23,テーブル!$M$3:$N$10,2,0)</f>
        <v>渡辺水産</v>
      </c>
      <c r="C23" s="2">
        <v>102</v>
      </c>
      <c r="D23" s="29" t="str">
        <f>VLOOKUP(C23,テーブル!$A$3:$C$8,2,0)</f>
        <v>Ｅ商品</v>
      </c>
      <c r="E23" s="45">
        <v>83</v>
      </c>
      <c r="F23" s="36">
        <f>ROUNDDOWN(IF(E23&lt;130,VLOOKUP(C23,定価計算表!$A$3:$G$8,7,0)*0.92,VLOOKUP(C23,定価計算表!$A$3:$G$8,7,0)*0.88),0)</f>
        <v>4287</v>
      </c>
      <c r="G23" s="20">
        <f t="shared" si="0"/>
        <v>355821</v>
      </c>
    </row>
    <row r="24" spans="1:8">
      <c r="A24" s="28" t="s">
        <v>33</v>
      </c>
      <c r="B24" s="29" t="str">
        <f>VLOOKUP(A24,テーブル!$M$3:$N$10,2,0)</f>
        <v>渡辺水産</v>
      </c>
      <c r="C24" s="2">
        <v>201</v>
      </c>
      <c r="D24" s="29" t="str">
        <f>VLOOKUP(C24,テーブル!$A$3:$C$8,2,0)</f>
        <v>Ｇ商品</v>
      </c>
      <c r="E24" s="45">
        <v>160</v>
      </c>
      <c r="F24" s="36">
        <f>ROUNDDOWN(IF(E24&lt;130,VLOOKUP(C24,定価計算表!$A$3:$G$8,7,0)*0.92,VLOOKUP(C24,定価計算表!$A$3:$G$8,7,0)*0.88),0)</f>
        <v>4778</v>
      </c>
      <c r="G24" s="20">
        <f t="shared" si="0"/>
        <v>764480</v>
      </c>
    </row>
    <row r="25" spans="1:8">
      <c r="A25" s="28" t="s">
        <v>33</v>
      </c>
      <c r="B25" s="29" t="str">
        <f>VLOOKUP(A25,テーブル!$M$3:$N$10,2,0)</f>
        <v>渡辺水産</v>
      </c>
      <c r="C25" s="2">
        <v>202</v>
      </c>
      <c r="D25" s="29" t="str">
        <f>VLOOKUP(C25,テーブル!$A$3:$C$8,2,0)</f>
        <v>Ｈ商品</v>
      </c>
      <c r="E25" s="45">
        <v>102</v>
      </c>
      <c r="F25" s="36">
        <f>ROUNDDOWN(IF(E25&lt;130,VLOOKUP(C25,定価計算表!$A$3:$G$8,7,0)*0.92,VLOOKUP(C25,定価計算表!$A$3:$G$8,7,0)*0.88),0)</f>
        <v>5271</v>
      </c>
      <c r="G25" s="20">
        <f t="shared" si="0"/>
        <v>537642</v>
      </c>
    </row>
    <row r="26" spans="1:8">
      <c r="A26" s="28"/>
      <c r="B26" s="29"/>
      <c r="C26" s="29"/>
      <c r="D26" s="29"/>
      <c r="E26" s="36"/>
      <c r="F26" s="36"/>
      <c r="G26" s="12"/>
    </row>
    <row r="27" spans="1:8" ht="14.25" thickBot="1">
      <c r="A27" s="32"/>
      <c r="B27" s="33" t="s">
        <v>7</v>
      </c>
      <c r="C27" s="37"/>
      <c r="D27" s="37"/>
      <c r="E27" s="38">
        <f>SUM(E2:E25)</f>
        <v>3033</v>
      </c>
      <c r="F27" s="38"/>
      <c r="G27" s="39">
        <f>SUM(G2:G25)</f>
        <v>14093429</v>
      </c>
      <c r="H27" t="s">
        <v>66</v>
      </c>
    </row>
    <row r="30" spans="1:8">
      <c r="A30" s="24"/>
      <c r="C30" s="43"/>
    </row>
    <row r="31" spans="1:8">
      <c r="A31" s="24"/>
    </row>
    <row r="32" spans="1:8">
      <c r="A32" s="24"/>
    </row>
    <row r="33" spans="1:1">
      <c r="A33" s="24"/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8"/>
  <sheetViews>
    <sheetView workbookViewId="0">
      <selection sqref="A1:F1"/>
    </sheetView>
  </sheetViews>
  <sheetFormatPr defaultRowHeight="13.5"/>
  <cols>
    <col min="1" max="1" width="7.5" bestFit="1" customWidth="1"/>
    <col min="2" max="2" width="9.5" bestFit="1" customWidth="1"/>
    <col min="3" max="3" width="11.625" bestFit="1" customWidth="1"/>
    <col min="4" max="4" width="8.5" bestFit="1" customWidth="1"/>
    <col min="5" max="5" width="11.625" bestFit="1" customWidth="1"/>
    <col min="6" max="6" width="9.5" bestFit="1" customWidth="1"/>
    <col min="7" max="7" width="9" customWidth="1"/>
  </cols>
  <sheetData>
    <row r="1" spans="1:8" ht="14.25" thickBot="1">
      <c r="A1" s="58" t="s">
        <v>54</v>
      </c>
      <c r="B1" s="58"/>
      <c r="C1" s="58"/>
      <c r="D1" s="58"/>
      <c r="E1" s="58"/>
      <c r="F1" s="58"/>
    </row>
    <row r="2" spans="1:8">
      <c r="A2" s="7" t="s">
        <v>43</v>
      </c>
      <c r="B2" s="8" t="s">
        <v>45</v>
      </c>
      <c r="C2" s="8" t="s">
        <v>53</v>
      </c>
      <c r="D2" s="8" t="s">
        <v>59</v>
      </c>
      <c r="E2" s="8" t="s">
        <v>13</v>
      </c>
      <c r="F2" s="27" t="s">
        <v>52</v>
      </c>
    </row>
    <row r="3" spans="1:8">
      <c r="A3" s="10" t="s">
        <v>20</v>
      </c>
      <c r="B3" s="2" t="str">
        <f>VLOOKUP(A3,テーブル!$M$3:$N$10,2,0)</f>
        <v>山田企画</v>
      </c>
      <c r="C3" s="5">
        <f>DSUM(販売データ表!$A$1:$G$25,$C$2,$A$14:$A$15)</f>
        <v>1706849</v>
      </c>
      <c r="D3" s="5">
        <f>ROUNDUP(C3*VLOOKUP(RIGHT(A3,1),テーブル!$P$3:$Q$5,2,0),0)</f>
        <v>83636</v>
      </c>
      <c r="E3" s="5">
        <f t="shared" ref="E3:E10" si="0">C3-D3</f>
        <v>1623213</v>
      </c>
      <c r="F3" s="20">
        <f>ROUND(E3*1.5%,-1)</f>
        <v>24350</v>
      </c>
    </row>
    <row r="4" spans="1:8">
      <c r="A4" s="10" t="s">
        <v>22</v>
      </c>
      <c r="B4" s="2" t="str">
        <f>VLOOKUP(A4,テーブル!$M$3:$N$10,2,0)</f>
        <v>杉山物産</v>
      </c>
      <c r="C4" s="5">
        <f>DSUM(販売データ表!$A$1:$G$25,$C$2,$B$14:$B$15)</f>
        <v>1836731</v>
      </c>
      <c r="D4" s="5">
        <f>ROUNDUP(C4*VLOOKUP(RIGHT(A4,1),テーブル!$P$3:$Q$5,2,0),0)</f>
        <v>93674</v>
      </c>
      <c r="E4" s="5">
        <f t="shared" si="0"/>
        <v>1743057</v>
      </c>
      <c r="F4" s="20">
        <f t="shared" ref="F4:F10" si="1">ROUND(E4*1.5%,-1)</f>
        <v>26150</v>
      </c>
    </row>
    <row r="5" spans="1:8">
      <c r="A5" s="10" t="s">
        <v>24</v>
      </c>
      <c r="B5" s="2" t="str">
        <f>VLOOKUP(A5,テーブル!$M$3:$N$10,2,0)</f>
        <v>ヤマモト</v>
      </c>
      <c r="C5" s="5">
        <f>DSUM(販売データ表!$A$1:$G$25,$C$2,$C$14:$C$15)</f>
        <v>1799538</v>
      </c>
      <c r="D5" s="5">
        <f>ROUNDUP(C5*VLOOKUP(RIGHT(A5,1),テーブル!$P$3:$Q$5,2,0),0)</f>
        <v>95376</v>
      </c>
      <c r="E5" s="5">
        <f t="shared" si="0"/>
        <v>1704162</v>
      </c>
      <c r="F5" s="20">
        <f t="shared" si="1"/>
        <v>25560</v>
      </c>
    </row>
    <row r="6" spans="1:8">
      <c r="A6" s="10" t="s">
        <v>26</v>
      </c>
      <c r="B6" s="2" t="str">
        <f>VLOOKUP(A6,テーブル!$M$3:$N$10,2,0)</f>
        <v>野村商店</v>
      </c>
      <c r="C6" s="5">
        <f>DSUM(販売データ表!$A$1:$G$25,$C$2,$D$14:$D$15)</f>
        <v>1713112</v>
      </c>
      <c r="D6" s="5">
        <f>ROUNDUP(C6*VLOOKUP(RIGHT(A6,1),テーブル!$P$3:$Q$5,2,0),0)</f>
        <v>87369</v>
      </c>
      <c r="E6" s="5">
        <f t="shared" si="0"/>
        <v>1625743</v>
      </c>
      <c r="F6" s="20">
        <f t="shared" si="1"/>
        <v>24390</v>
      </c>
    </row>
    <row r="7" spans="1:8">
      <c r="A7" s="10" t="s">
        <v>28</v>
      </c>
      <c r="B7" s="2" t="str">
        <f>VLOOKUP(A7,テーブル!$M$3:$N$10,2,0)</f>
        <v>石原総業</v>
      </c>
      <c r="C7" s="5">
        <f>DSUM(販売データ表!$A$1:$G$25,$C$2,$E$14:$E$15)</f>
        <v>1710806</v>
      </c>
      <c r="D7" s="5">
        <f>ROUNDUP(C7*VLOOKUP(RIGHT(A7,1),テーブル!$P$3:$Q$5,2,0),0)</f>
        <v>83830</v>
      </c>
      <c r="E7" s="5">
        <f t="shared" si="0"/>
        <v>1626976</v>
      </c>
      <c r="F7" s="20">
        <f t="shared" si="1"/>
        <v>24400</v>
      </c>
    </row>
    <row r="8" spans="1:8">
      <c r="A8" s="10" t="s">
        <v>30</v>
      </c>
      <c r="B8" s="2" t="str">
        <f>VLOOKUP(A8,テーブル!$M$3:$N$10,2,0)</f>
        <v>ＳＫＨＤ</v>
      </c>
      <c r="C8" s="5">
        <f>DSUM(販売データ表!$A$1:$G$25,$C$2,$F$14:$F$15)</f>
        <v>1904645</v>
      </c>
      <c r="D8" s="5">
        <f>ROUNDUP(C8*VLOOKUP(RIGHT(A8,1),テーブル!$P$3:$Q$5,2,0),0)</f>
        <v>100947</v>
      </c>
      <c r="E8" s="5">
        <f t="shared" si="0"/>
        <v>1803698</v>
      </c>
      <c r="F8" s="20">
        <f t="shared" si="1"/>
        <v>27060</v>
      </c>
    </row>
    <row r="9" spans="1:8">
      <c r="A9" s="10" t="s">
        <v>32</v>
      </c>
      <c r="B9" s="2" t="str">
        <f>VLOOKUP(A9,テーブル!$M$3:$N$10,2,0)</f>
        <v>東北商会</v>
      </c>
      <c r="C9" s="5">
        <f>DSUM(販売データ表!$A$1:$G$25,$C$2,$A$16:$A$17)</f>
        <v>1763805</v>
      </c>
      <c r="D9" s="5">
        <f>ROUNDUP(C9*VLOOKUP(RIGHT(A9,1),テーブル!$P$3:$Q$5,2,0),0)</f>
        <v>86427</v>
      </c>
      <c r="E9" s="5">
        <f t="shared" si="0"/>
        <v>1677378</v>
      </c>
      <c r="F9" s="20">
        <f t="shared" si="1"/>
        <v>25160</v>
      </c>
    </row>
    <row r="10" spans="1:8">
      <c r="A10" s="10" t="s">
        <v>34</v>
      </c>
      <c r="B10" s="2" t="str">
        <f>VLOOKUP(A10,テーブル!$M$3:$N$10,2,0)</f>
        <v>渡辺水産</v>
      </c>
      <c r="C10" s="5">
        <f>DSUM(販売データ表!$A$1:$G$25,$C$2,$B$16:$B$17)</f>
        <v>1657943</v>
      </c>
      <c r="D10" s="5">
        <f>ROUNDUP(C10*VLOOKUP(RIGHT(A10,1),テーブル!$P$3:$Q$5,2,0),0)</f>
        <v>84556</v>
      </c>
      <c r="E10" s="5">
        <f t="shared" si="0"/>
        <v>1573387</v>
      </c>
      <c r="F10" s="20">
        <f t="shared" si="1"/>
        <v>23600</v>
      </c>
    </row>
    <row r="11" spans="1:8">
      <c r="A11" s="10"/>
      <c r="B11" s="2"/>
      <c r="C11" s="5"/>
      <c r="D11" s="5"/>
      <c r="E11" s="5"/>
      <c r="F11" s="12"/>
    </row>
    <row r="12" spans="1:8" ht="14.25" thickBot="1">
      <c r="A12" s="13"/>
      <c r="B12" s="14" t="s">
        <v>7</v>
      </c>
      <c r="C12" s="21">
        <f>SUM(C3:C10)</f>
        <v>14093429</v>
      </c>
      <c r="D12" s="21">
        <f t="shared" ref="D12:F12" si="2">SUM(D3:D10)</f>
        <v>715815</v>
      </c>
      <c r="E12" s="21">
        <f t="shared" si="2"/>
        <v>13377614</v>
      </c>
      <c r="F12" s="22">
        <f t="shared" si="2"/>
        <v>200670</v>
      </c>
      <c r="G12" t="s">
        <v>66</v>
      </c>
    </row>
    <row r="13" spans="1:8" ht="14.25" thickBot="1">
      <c r="H13" s="43"/>
    </row>
    <row r="14" spans="1:8">
      <c r="A14" s="7" t="s">
        <v>43</v>
      </c>
      <c r="B14" s="7" t="s">
        <v>43</v>
      </c>
      <c r="C14" s="7" t="s">
        <v>43</v>
      </c>
      <c r="D14" s="7" t="s">
        <v>43</v>
      </c>
      <c r="E14" s="7" t="s">
        <v>43</v>
      </c>
      <c r="F14" s="18" t="s">
        <v>43</v>
      </c>
    </row>
    <row r="15" spans="1:8" ht="14.25" thickBot="1">
      <c r="A15" s="13" t="s">
        <v>20</v>
      </c>
      <c r="B15" s="13" t="s">
        <v>22</v>
      </c>
      <c r="C15" s="13" t="s">
        <v>24</v>
      </c>
      <c r="D15" s="13" t="s">
        <v>26</v>
      </c>
      <c r="E15" s="13" t="s">
        <v>28</v>
      </c>
      <c r="F15" s="19" t="s">
        <v>30</v>
      </c>
    </row>
    <row r="16" spans="1:8">
      <c r="A16" s="7" t="s">
        <v>43</v>
      </c>
      <c r="B16" s="18" t="s">
        <v>43</v>
      </c>
    </row>
    <row r="17" spans="1:2" ht="14.25" thickBot="1">
      <c r="A17" s="13" t="s">
        <v>32</v>
      </c>
      <c r="B17" s="19" t="s">
        <v>34</v>
      </c>
    </row>
    <row r="38" spans="13:13">
      <c r="M38" t="s">
        <v>67</v>
      </c>
    </row>
  </sheetData>
  <mergeCells count="1">
    <mergeCell ref="A1:F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テーブル</vt:lpstr>
      <vt:lpstr>仕入データ表</vt:lpstr>
      <vt:lpstr>定価計算表</vt:lpstr>
      <vt:lpstr>販売データ表</vt:lpstr>
      <vt:lpstr>請求額計算表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日本情報処理検定協会(K.I)</dc:creator>
  <cp:lastModifiedBy>日本情報処理検定協会(M.N)</cp:lastModifiedBy>
  <cp:lastPrinted>2020-01-07T02:53:09Z</cp:lastPrinted>
  <dcterms:created xsi:type="dcterms:W3CDTF">2019-03-28T01:49:55Z</dcterms:created>
  <dcterms:modified xsi:type="dcterms:W3CDTF">2022-04-08T08:24:35Z</dcterms:modified>
</cp:coreProperties>
</file>