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1(令和03)年度\令和04年02月\1表計算\"/>
    </mc:Choice>
  </mc:AlternateContent>
  <xr:revisionPtr revIDLastSave="0" documentId="13_ncr:1_{4A0C5557-78EC-4024-8C0D-1BD38D27003F}" xr6:coauthVersionLast="47" xr6:coauthVersionMax="47" xr10:uidLastSave="{00000000-0000-0000-0000-000000000000}"/>
  <bookViews>
    <workbookView xWindow="-120" yWindow="-120" windowWidth="29040" windowHeight="15840" activeTab="3" xr2:uid="{E24031B7-2B0C-48DC-BC5B-70216F80D94D}"/>
  </bookViews>
  <sheets>
    <sheet name="テーブル" sheetId="1" r:id="rId1"/>
    <sheet name="前期" sheetId="3" r:id="rId2"/>
    <sheet name="後期" sheetId="5" r:id="rId3"/>
    <sheet name="計算表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5" l="1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F25" i="3"/>
  <c r="G25" i="3" s="1"/>
  <c r="F24" i="3"/>
  <c r="F23" i="3"/>
  <c r="G23" i="3" s="1"/>
  <c r="F22" i="3"/>
  <c r="G22" i="3" s="1"/>
  <c r="F21" i="3"/>
  <c r="F20" i="3"/>
  <c r="F19" i="3"/>
  <c r="F18" i="3"/>
  <c r="G18" i="3" s="1"/>
  <c r="F17" i="3"/>
  <c r="G17" i="3" s="1"/>
  <c r="F16" i="3"/>
  <c r="F15" i="3"/>
  <c r="G15" i="3" s="1"/>
  <c r="F14" i="3"/>
  <c r="G14" i="3" s="1"/>
  <c r="F13" i="3"/>
  <c r="G13" i="3" s="1"/>
  <c r="F12" i="3"/>
  <c r="F11" i="3"/>
  <c r="F10" i="3"/>
  <c r="F9" i="3"/>
  <c r="G9" i="3" s="1"/>
  <c r="F8" i="3"/>
  <c r="F7" i="3"/>
  <c r="G7" i="3" s="1"/>
  <c r="F6" i="3"/>
  <c r="G6" i="3" s="1"/>
  <c r="F5" i="3"/>
  <c r="G5" i="3" s="1"/>
  <c r="F4" i="3"/>
  <c r="F3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G21" i="3"/>
  <c r="F2" i="3"/>
  <c r="G2" i="3" s="1"/>
  <c r="D2" i="3"/>
  <c r="G10" i="3"/>
  <c r="G3" i="3"/>
  <c r="G4" i="3"/>
  <c r="G8" i="3"/>
  <c r="G11" i="3"/>
  <c r="G12" i="3"/>
  <c r="G16" i="3"/>
  <c r="G19" i="3"/>
  <c r="G20" i="3"/>
  <c r="G24" i="3"/>
  <c r="G4" i="4"/>
  <c r="G5" i="4"/>
  <c r="G6" i="4"/>
  <c r="G8" i="4"/>
  <c r="G9" i="4"/>
  <c r="G7" i="4"/>
  <c r="B2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3" i="3"/>
  <c r="H5" i="4"/>
  <c r="H4" i="4"/>
  <c r="H8" i="4"/>
  <c r="H6" i="4"/>
  <c r="H7" i="4"/>
  <c r="H9" i="4"/>
  <c r="B4" i="4" l="1"/>
  <c r="B5" i="4"/>
  <c r="B3" i="4"/>
  <c r="B6" i="4"/>
  <c r="G2" i="5"/>
  <c r="G3" i="5"/>
  <c r="H3" i="5" s="1"/>
  <c r="I3" i="5" s="1"/>
  <c r="G4" i="5"/>
  <c r="H4" i="5" s="1"/>
  <c r="I4" i="5" s="1"/>
  <c r="G5" i="5"/>
  <c r="H5" i="5" s="1"/>
  <c r="I5" i="5" s="1"/>
  <c r="G6" i="5"/>
  <c r="G7" i="5"/>
  <c r="H7" i="5" s="1"/>
  <c r="I7" i="5" s="1"/>
  <c r="G8" i="5"/>
  <c r="H8" i="5" s="1"/>
  <c r="I8" i="5" s="1"/>
  <c r="G9" i="5"/>
  <c r="H9" i="5" s="1"/>
  <c r="I9" i="5" s="1"/>
  <c r="G10" i="5"/>
  <c r="G11" i="5"/>
  <c r="H11" i="5" s="1"/>
  <c r="I11" i="5" s="1"/>
  <c r="G12" i="5"/>
  <c r="H12" i="5" s="1"/>
  <c r="I12" i="5" s="1"/>
  <c r="G13" i="5"/>
  <c r="H13" i="5" s="1"/>
  <c r="I13" i="5" s="1"/>
  <c r="G14" i="5"/>
  <c r="G15" i="5"/>
  <c r="H15" i="5" s="1"/>
  <c r="I15" i="5" s="1"/>
  <c r="G16" i="5"/>
  <c r="H16" i="5" s="1"/>
  <c r="I16" i="5" s="1"/>
  <c r="G17" i="5"/>
  <c r="H17" i="5" s="1"/>
  <c r="I17" i="5" s="1"/>
  <c r="G18" i="5"/>
  <c r="G19" i="5"/>
  <c r="H19" i="5" s="1"/>
  <c r="I19" i="5" s="1"/>
  <c r="G20" i="5"/>
  <c r="H20" i="5" s="1"/>
  <c r="I20" i="5" s="1"/>
  <c r="G21" i="5"/>
  <c r="H21" i="5" s="1"/>
  <c r="I21" i="5" s="1"/>
  <c r="G22" i="5"/>
  <c r="G23" i="5"/>
  <c r="H23" i="5" s="1"/>
  <c r="I23" i="5" s="1"/>
  <c r="G24" i="5"/>
  <c r="H24" i="5" s="1"/>
  <c r="I24" i="5" s="1"/>
  <c r="G25" i="5"/>
  <c r="H25" i="5" s="1"/>
  <c r="I25" i="5" s="1"/>
  <c r="H14" i="3"/>
  <c r="I14" i="3" s="1"/>
  <c r="H16" i="3"/>
  <c r="I16" i="3" s="1"/>
  <c r="H17" i="3"/>
  <c r="I17" i="3" s="1"/>
  <c r="H19" i="3"/>
  <c r="I19" i="3" s="1"/>
  <c r="H20" i="3"/>
  <c r="I20" i="3" s="1"/>
  <c r="H21" i="3"/>
  <c r="I21" i="3" s="1"/>
  <c r="H23" i="3"/>
  <c r="I23" i="3" s="1"/>
  <c r="H24" i="3"/>
  <c r="I24" i="3" s="1"/>
  <c r="H25" i="3"/>
  <c r="I25" i="3" s="1"/>
  <c r="H15" i="3"/>
  <c r="I15" i="3" s="1"/>
  <c r="K4" i="4"/>
  <c r="K9" i="4"/>
  <c r="K5" i="4"/>
  <c r="K7" i="4"/>
  <c r="I6" i="4"/>
  <c r="K6" i="4"/>
  <c r="K8" i="4"/>
  <c r="N9" i="4" l="1"/>
  <c r="N8" i="4"/>
  <c r="N6" i="4"/>
  <c r="N5" i="4"/>
  <c r="N4" i="4"/>
  <c r="H22" i="5"/>
  <c r="I22" i="5" s="1"/>
  <c r="H18" i="5"/>
  <c r="I18" i="5" s="1"/>
  <c r="H14" i="5"/>
  <c r="I14" i="5" s="1"/>
  <c r="H10" i="5"/>
  <c r="I10" i="5" s="1"/>
  <c r="H6" i="5"/>
  <c r="I6" i="5" s="1"/>
  <c r="H2" i="5"/>
  <c r="I2" i="5" s="1"/>
  <c r="H22" i="3"/>
  <c r="I22" i="3" s="1"/>
  <c r="H18" i="3"/>
  <c r="I18" i="3" s="1"/>
  <c r="E27" i="5"/>
  <c r="L4" i="4"/>
  <c r="I8" i="4"/>
  <c r="L6" i="4"/>
  <c r="J6" i="4"/>
  <c r="L7" i="4"/>
  <c r="L5" i="4"/>
  <c r="L9" i="4"/>
  <c r="L8" i="4"/>
  <c r="I9" i="4"/>
  <c r="O6" i="4" l="1"/>
  <c r="O8" i="4"/>
  <c r="R8" i="4" s="1"/>
  <c r="O9" i="4"/>
  <c r="R9" i="4" s="1"/>
  <c r="H13" i="3"/>
  <c r="I13" i="3" s="1"/>
  <c r="H6" i="3"/>
  <c r="I6" i="3" s="1"/>
  <c r="H4" i="3"/>
  <c r="H8" i="3"/>
  <c r="I8" i="3" s="1"/>
  <c r="E27" i="3"/>
  <c r="M8" i="4"/>
  <c r="M9" i="4"/>
  <c r="M7" i="4"/>
  <c r="M6" i="4"/>
  <c r="M5" i="4"/>
  <c r="M4" i="4"/>
  <c r="J8" i="4"/>
  <c r="J9" i="4"/>
  <c r="I4" i="3" l="1"/>
  <c r="D5" i="4" s="1"/>
  <c r="C5" i="4"/>
  <c r="R6" i="4"/>
  <c r="S6" i="4" s="1"/>
  <c r="P6" i="4"/>
  <c r="P8" i="4"/>
  <c r="P9" i="4"/>
  <c r="S8" i="4"/>
  <c r="S9" i="4"/>
  <c r="H3" i="3"/>
  <c r="K11" i="4"/>
  <c r="L11" i="4"/>
  <c r="M11" i="4"/>
  <c r="H11" i="3"/>
  <c r="I11" i="3" s="1"/>
  <c r="H9" i="3"/>
  <c r="I9" i="3" s="1"/>
  <c r="H12" i="3"/>
  <c r="I12" i="3" s="1"/>
  <c r="H10" i="3"/>
  <c r="I10" i="3" s="1"/>
  <c r="H2" i="3"/>
  <c r="H7" i="3"/>
  <c r="I7" i="3" s="1"/>
  <c r="I5" i="4"/>
  <c r="I4" i="4"/>
  <c r="I2" i="3" l="1"/>
  <c r="D3" i="4" s="1"/>
  <c r="C3" i="4"/>
  <c r="I3" i="3"/>
  <c r="D4" i="4" s="1"/>
  <c r="C4" i="4"/>
  <c r="Q9" i="4"/>
  <c r="Q8" i="4"/>
  <c r="Q6" i="4"/>
  <c r="O4" i="4"/>
  <c r="O5" i="4"/>
  <c r="G27" i="5"/>
  <c r="G27" i="3"/>
  <c r="H5" i="3"/>
  <c r="J4" i="4"/>
  <c r="I7" i="4"/>
  <c r="J5" i="4"/>
  <c r="I5" i="3" l="1"/>
  <c r="D6" i="4" s="1"/>
  <c r="C6" i="4"/>
  <c r="R5" i="4"/>
  <c r="S5" i="4" s="1"/>
  <c r="R4" i="4"/>
  <c r="B8" i="4"/>
  <c r="N7" i="4"/>
  <c r="H11" i="4"/>
  <c r="O7" i="4"/>
  <c r="R7" i="4" s="1"/>
  <c r="I11" i="4"/>
  <c r="P4" i="4"/>
  <c r="H27" i="5"/>
  <c r="I27" i="5"/>
  <c r="H27" i="3"/>
  <c r="J7" i="4"/>
  <c r="S4" i="4" l="1"/>
  <c r="Q4" i="4"/>
  <c r="P7" i="4"/>
  <c r="N11" i="4"/>
  <c r="P5" i="4"/>
  <c r="J11" i="4"/>
  <c r="O11" i="4"/>
  <c r="I27" i="3"/>
  <c r="C8" i="4"/>
  <c r="T9" i="4" l="1"/>
  <c r="T6" i="4"/>
  <c r="T8" i="4"/>
  <c r="T4" i="4"/>
  <c r="Q7" i="4"/>
  <c r="D8" i="4"/>
  <c r="Q5" i="4"/>
  <c r="P11" i="4"/>
  <c r="S7" i="4"/>
  <c r="T5" i="4" l="1"/>
  <c r="T7" i="4"/>
  <c r="S11" i="4"/>
  <c r="R11" i="4"/>
</calcChain>
</file>

<file path=xl/sharedStrings.xml><?xml version="1.0" encoding="utf-8"?>
<sst xmlns="http://schemas.openxmlformats.org/spreadsheetml/2006/main" count="163" uniqueCount="58">
  <si>
    <t>合　計</t>
    <rPh sb="0" eb="1">
      <t>ア</t>
    </rPh>
    <rPh sb="2" eb="3">
      <t>ケイ</t>
    </rPh>
    <phoneticPr fontId="5"/>
  </si>
  <si>
    <t>合　計</t>
    <phoneticPr fontId="2"/>
  </si>
  <si>
    <t>達成率</t>
    <rPh sb="0" eb="3">
      <t>タッセイリツ</t>
    </rPh>
    <phoneticPr fontId="2"/>
  </si>
  <si>
    <t>＜商品テーブル＞</t>
    <rPh sb="1" eb="3">
      <t>ショウヒン</t>
    </rPh>
    <phoneticPr fontId="2"/>
  </si>
  <si>
    <t>商ＣＯ</t>
    <rPh sb="0" eb="1">
      <t>ショウ</t>
    </rPh>
    <phoneticPr fontId="2"/>
  </si>
  <si>
    <t>商品名</t>
    <rPh sb="0" eb="3">
      <t>ショウヒンメイ</t>
    </rPh>
    <phoneticPr fontId="2"/>
  </si>
  <si>
    <t>原価</t>
    <rPh sb="0" eb="2">
      <t>ゲンカ</t>
    </rPh>
    <phoneticPr fontId="2"/>
  </si>
  <si>
    <t>商品Ｄ</t>
    <rPh sb="0" eb="2">
      <t>ショウヒン</t>
    </rPh>
    <phoneticPr fontId="2"/>
  </si>
  <si>
    <t>＜販売先テーブル＞</t>
    <rPh sb="1" eb="3">
      <t>ハンバイ</t>
    </rPh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</si>
  <si>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</si>
  <si>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</si>
  <si>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</si>
  <si>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</si>
  <si>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値引額</t>
    <rPh sb="0" eb="2">
      <t>ネビキ</t>
    </rPh>
    <rPh sb="2" eb="3">
      <t>ガク</t>
    </rPh>
    <phoneticPr fontId="2"/>
  </si>
  <si>
    <t>定価</t>
    <rPh sb="0" eb="2">
      <t>テイカ</t>
    </rPh>
    <phoneticPr fontId="2"/>
  </si>
  <si>
    <t>判定</t>
    <rPh sb="0" eb="2">
      <t>ハンテイ</t>
    </rPh>
    <phoneticPr fontId="2"/>
  </si>
  <si>
    <t>＜利益率表＞</t>
    <rPh sb="1" eb="3">
      <t>リエキ</t>
    </rPh>
    <rPh sb="3" eb="4">
      <t>リツ</t>
    </rPh>
    <rPh sb="4" eb="5">
      <t>ヒョウ</t>
    </rPh>
    <phoneticPr fontId="2"/>
  </si>
  <si>
    <t>利益額</t>
    <rPh sb="0" eb="2">
      <t>リエキ</t>
    </rPh>
    <rPh sb="2" eb="3">
      <t>ガク</t>
    </rPh>
    <phoneticPr fontId="2"/>
  </si>
  <si>
    <t>商品別集計表</t>
    <rPh sb="0" eb="2">
      <t>ショウヒン</t>
    </rPh>
    <rPh sb="2" eb="3">
      <t>ベツ</t>
    </rPh>
    <rPh sb="3" eb="5">
      <t>シュウケイ</t>
    </rPh>
    <rPh sb="5" eb="6">
      <t>オモテ</t>
    </rPh>
    <phoneticPr fontId="2"/>
  </si>
  <si>
    <t>請求額</t>
    <rPh sb="0" eb="2">
      <t>セイキュウ</t>
    </rPh>
    <rPh sb="2" eb="3">
      <t>ガク</t>
    </rPh>
    <phoneticPr fontId="2"/>
  </si>
  <si>
    <t>利益目標</t>
    <rPh sb="0" eb="2">
      <t>リエキ</t>
    </rPh>
    <rPh sb="2" eb="4">
      <t>モクヒョウ</t>
    </rPh>
    <phoneticPr fontId="2"/>
  </si>
  <si>
    <t>割引額</t>
    <rPh sb="0" eb="2">
      <t>ワリビキ</t>
    </rPh>
    <rPh sb="2" eb="3">
      <t>ガク</t>
    </rPh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</si>
  <si>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</si>
  <si>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</si>
  <si>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年間</t>
    <rPh sb="0" eb="2">
      <t>ネンカン</t>
    </rPh>
    <phoneticPr fontId="2"/>
  </si>
  <si>
    <t>販　売　先　別　請　求　額　計　算　表</t>
    <rPh sb="0" eb="1">
      <t>ハン</t>
    </rPh>
    <rPh sb="2" eb="3">
      <t>バイ</t>
    </rPh>
    <rPh sb="4" eb="5">
      <t>サキ</t>
    </rPh>
    <rPh sb="6" eb="7">
      <t>ベツ</t>
    </rPh>
    <rPh sb="8" eb="9">
      <t>ショウ</t>
    </rPh>
    <rPh sb="10" eb="11">
      <t>モトム</t>
    </rPh>
    <rPh sb="12" eb="13">
      <t>ガク</t>
    </rPh>
    <rPh sb="14" eb="15">
      <t>ケイ</t>
    </rPh>
    <rPh sb="16" eb="17">
      <t>サン</t>
    </rPh>
    <rPh sb="18" eb="19">
      <t>ヒョウ</t>
    </rPh>
    <phoneticPr fontId="2"/>
  </si>
  <si>
    <t>商品Ａ</t>
    <rPh sb="0" eb="2">
      <t>ショウヒン</t>
    </rPh>
    <phoneticPr fontId="2"/>
  </si>
  <si>
    <t>商品Ｂ</t>
    <rPh sb="0" eb="2">
      <t>ショウヒン</t>
    </rPh>
    <phoneticPr fontId="2"/>
  </si>
  <si>
    <t>商品Ｃ</t>
    <rPh sb="0" eb="2">
      <t>ショウヒン</t>
    </rPh>
    <phoneticPr fontId="2"/>
  </si>
  <si>
    <t>ショップ泉</t>
    <rPh sb="4" eb="5">
      <t>イズミ</t>
    </rPh>
    <phoneticPr fontId="2"/>
  </si>
  <si>
    <t>秋山堂</t>
    <rPh sb="0" eb="2">
      <t>アキヤマ</t>
    </rPh>
    <rPh sb="2" eb="3">
      <t>ドウ</t>
    </rPh>
    <phoneticPr fontId="2"/>
  </si>
  <si>
    <t>里海洋品店</t>
    <rPh sb="0" eb="2">
      <t>サトウミ</t>
    </rPh>
    <rPh sb="2" eb="5">
      <t>ヨウヒンテン</t>
    </rPh>
    <phoneticPr fontId="2"/>
  </si>
  <si>
    <t>ＯＪＩＭＡ</t>
    <phoneticPr fontId="2"/>
  </si>
  <si>
    <t>川谷商事</t>
    <rPh sb="0" eb="2">
      <t>カワタニ</t>
    </rPh>
    <rPh sb="2" eb="4">
      <t>ショウジ</t>
    </rPh>
    <phoneticPr fontId="2"/>
  </si>
  <si>
    <t>岩波百貨</t>
    <rPh sb="0" eb="2">
      <t>イワナミ</t>
    </rPh>
    <rPh sb="2" eb="4">
      <t>ヒャッカ</t>
    </rPh>
    <phoneticPr fontId="2"/>
  </si>
  <si>
    <t>区分</t>
    <rPh sb="0" eb="2">
      <t>クブン</t>
    </rPh>
    <phoneticPr fontId="2"/>
  </si>
  <si>
    <t>割引率</t>
    <rPh sb="0" eb="3">
      <t>ワリビキリツ</t>
    </rPh>
    <phoneticPr fontId="2"/>
  </si>
  <si>
    <t>商ＣＯの下１桁</t>
    <rPh sb="0" eb="1">
      <t>ショウ</t>
    </rPh>
    <rPh sb="4" eb="5">
      <t>シモ</t>
    </rPh>
    <rPh sb="6" eb="7">
      <t>ケタ</t>
    </rPh>
    <phoneticPr fontId="2"/>
  </si>
  <si>
    <t>合　計</t>
  </si>
  <si>
    <t>＜割引率テーブル＞</t>
    <rPh sb="1" eb="4">
      <t>ワリビキリツ</t>
    </rPh>
    <phoneticPr fontId="2"/>
  </si>
  <si>
    <t>11X</t>
  </si>
  <si>
    <t>11X</t>
    <phoneticPr fontId="2"/>
  </si>
  <si>
    <t>12Y</t>
  </si>
  <si>
    <t>12Y</t>
    <phoneticPr fontId="2"/>
  </si>
  <si>
    <t>13Z</t>
  </si>
  <si>
    <t>13Z</t>
    <phoneticPr fontId="2"/>
  </si>
  <si>
    <t>14Y</t>
  </si>
  <si>
    <t>14Y</t>
    <phoneticPr fontId="2"/>
  </si>
  <si>
    <t>15X</t>
  </si>
  <si>
    <t>15X</t>
    <phoneticPr fontId="2"/>
  </si>
  <si>
    <t>16Z</t>
  </si>
  <si>
    <t>16Z</t>
    <phoneticPr fontId="2"/>
  </si>
  <si>
    <t>X</t>
    <phoneticPr fontId="2"/>
  </si>
  <si>
    <t>Y</t>
    <phoneticPr fontId="2"/>
  </si>
  <si>
    <t>Z</t>
    <phoneticPr fontId="2"/>
  </si>
  <si>
    <t>値引額</t>
    <rPh sb="0" eb="3">
      <t>ネビキガク</t>
    </rPh>
    <phoneticPr fontId="2"/>
  </si>
  <si>
    <t>【100点】</t>
  </si>
  <si>
    <t>グラフ【10点】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</si>
</sst>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4" xfId="2" applyFont="1" applyBorder="1">
      <alignment vertical="center"/>
    </xf>
    <xf numFmtId="38" fontId="4" fillId="0" borderId="2" xfId="2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6" xfId="0" applyNumberFormat="1" applyFont="1" applyBorder="1">
      <alignment vertical="center"/>
    </xf>
    <xf numFmtId="0" fontId="4" fillId="0" borderId="8" xfId="0" applyFont="1" applyBorder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2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38" fontId="4" fillId="0" borderId="0" xfId="0" applyNumberFormat="1" applyFont="1">
      <alignment vertical="center"/>
    </xf>
    <xf numFmtId="0" fontId="0" fillId="0" borderId="3" xfId="0" applyFont="1" applyBorder="1">
      <alignment vertical="center"/>
    </xf>
    <xf numFmtId="0" fontId="0" fillId="0" borderId="8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9" fontId="4" fillId="0" borderId="2" xfId="0" applyNumberFormat="1" applyFont="1" applyBorder="1">
      <alignment vertical="center"/>
    </xf>
    <xf numFmtId="3" fontId="6" fillId="0" borderId="2" xfId="0" applyNumberFormat="1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7" xfId="0" applyNumberFormat="1" applyFont="1" applyBorder="1">
      <alignment vertical="center"/>
    </xf>
    <xf numFmtId="0" fontId="1" fillId="0" borderId="8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0" fontId="0" fillId="0" borderId="2" xfId="0" applyFont="1" applyFill="1" applyBorder="1" applyAlignment="1">
      <alignment vertical="center"/>
    </xf>
    <xf numFmtId="0" fontId="4" fillId="0" borderId="2" xfId="0" applyFont="1" applyFill="1" applyBorder="1">
      <alignment vertical="center"/>
    </xf>
    <xf numFmtId="38" fontId="6" fillId="0" borderId="2" xfId="0" applyNumberFormat="1" applyFont="1" applyFill="1" applyBorder="1" applyAlignment="1">
      <alignment horizontal="right" vertical="center"/>
    </xf>
    <xf numFmtId="38" fontId="6" fillId="0" borderId="2" xfId="2" applyNumberFormat="1" applyFont="1" applyFill="1" applyBorder="1">
      <alignment vertical="center"/>
    </xf>
    <xf numFmtId="38" fontId="4" fillId="0" borderId="2" xfId="2" applyFont="1" applyFill="1" applyBorder="1">
      <alignment vertical="center"/>
    </xf>
    <xf numFmtId="38" fontId="4" fillId="0" borderId="4" xfId="2" applyNumberFormat="1" applyFont="1" applyFill="1" applyBorder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0" fillId="0" borderId="6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38" fontId="4" fillId="0" borderId="6" xfId="2" applyFont="1" applyFill="1" applyBorder="1">
      <alignment vertical="center"/>
    </xf>
    <xf numFmtId="38" fontId="4" fillId="0" borderId="7" xfId="2" applyFont="1" applyFill="1" applyBorder="1">
      <alignment vertical="center"/>
    </xf>
    <xf numFmtId="38" fontId="0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>
      <alignment vertical="center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6" fillId="0" borderId="24" xfId="0" applyFont="1" applyBorder="1">
      <alignment vertical="center"/>
    </xf>
    <xf numFmtId="0" fontId="4" fillId="0" borderId="24" xfId="0" applyFont="1" applyBorder="1">
      <alignment vertical="center"/>
    </xf>
    <xf numFmtId="3" fontId="4" fillId="0" borderId="2" xfId="0" applyNumberFormat="1" applyFont="1" applyBorder="1">
      <alignment vertical="center"/>
    </xf>
    <xf numFmtId="0" fontId="0" fillId="0" borderId="18" xfId="0" applyFont="1" applyBorder="1" applyAlignment="1">
      <alignment vertical="center"/>
    </xf>
    <xf numFmtId="0" fontId="0" fillId="0" borderId="15" xfId="0" applyFont="1" applyBorder="1" applyAlignment="1">
      <alignment horizontal="center" vertical="center"/>
    </xf>
    <xf numFmtId="176" fontId="4" fillId="0" borderId="2" xfId="0" applyNumberFormat="1" applyFont="1" applyBorder="1">
      <alignment vertical="center"/>
    </xf>
    <xf numFmtId="176" fontId="4" fillId="0" borderId="2" xfId="1" applyNumberFormat="1" applyFont="1" applyFill="1" applyBorder="1">
      <alignment vertical="center"/>
    </xf>
    <xf numFmtId="38" fontId="4" fillId="0" borderId="4" xfId="2" applyFon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28-4F28-930B-C189F6F40BA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28-4F28-930B-C189F6F40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04064"/>
        <c:axId val="63305600"/>
      </c:barChart>
      <c:catAx>
        <c:axId val="6330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5600"/>
        <c:crosses val="autoZero"/>
        <c:auto val="1"/>
        <c:lblAlgn val="ctr"/>
        <c:lblOffset val="100"/>
        <c:noMultiLvlLbl val="0"/>
      </c:catAx>
      <c:valAx>
        <c:axId val="63305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40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687224669603523"/>
          <c:y val="0"/>
          <c:w val="0.23348017621145375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C65-4BD2-BBC6-C3275AE4DBAF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C65-4BD2-BBC6-C3275AE4D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27232"/>
        <c:axId val="63361792"/>
      </c:barChart>
      <c:catAx>
        <c:axId val="633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61792"/>
        <c:crosses val="autoZero"/>
        <c:auto val="1"/>
        <c:lblAlgn val="ctr"/>
        <c:lblOffset val="100"/>
        <c:noMultiLvlLbl val="0"/>
      </c:catAx>
      <c:valAx>
        <c:axId val="63361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272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ADF-4458-BB3D-78A32BFC771D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ADF-4458-BB3D-78A32BFC7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008128"/>
        <c:axId val="103009664"/>
      </c:barChart>
      <c:catAx>
        <c:axId val="1030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9664"/>
        <c:crosses val="autoZero"/>
        <c:auto val="1"/>
        <c:lblAlgn val="ctr"/>
        <c:lblOffset val="100"/>
        <c:noMultiLvlLbl val="0"/>
      </c:catAx>
      <c:valAx>
        <c:axId val="1030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81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62-4BC1-97D4-3115EFE9A90E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62-4BC1-97D4-3115EFE9A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269120"/>
        <c:axId val="103270656"/>
      </c:barChart>
      <c:catAx>
        <c:axId val="1032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70656"/>
        <c:crosses val="autoZero"/>
        <c:auto val="1"/>
        <c:lblAlgn val="ctr"/>
        <c:lblOffset val="100"/>
        <c:noMultiLvlLbl val="0"/>
      </c:catAx>
      <c:valAx>
        <c:axId val="10327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691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264214046822745"/>
          <c:y val="0"/>
          <c:w val="0.17725752508361203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商品別の販売額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計算表!$C$2</c:f>
              <c:strCache>
                <c:ptCount val="1"/>
                <c:pt idx="0">
                  <c:v>販売額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計算表!$A$3:$A$6</c:f>
              <c:strCache>
                <c:ptCount val="4"/>
                <c:pt idx="0">
                  <c:v>商品Ａ</c:v>
                </c:pt>
                <c:pt idx="1">
                  <c:v>商品Ｂ</c:v>
                </c:pt>
                <c:pt idx="2">
                  <c:v>商品Ｃ</c:v>
                </c:pt>
                <c:pt idx="3">
                  <c:v>商品Ｄ</c:v>
                </c:pt>
              </c:strCache>
            </c:strRef>
          </c:cat>
          <c:val>
            <c:numRef>
              <c:f>計算表!$C$3:$C$6</c:f>
              <c:numCache>
                <c:formatCode>#,##0_);[Red]\(#,##0\)</c:formatCode>
                <c:ptCount val="4"/>
                <c:pt idx="0">
                  <c:v>4348620</c:v>
                </c:pt>
                <c:pt idx="1">
                  <c:v>5174150</c:v>
                </c:pt>
                <c:pt idx="2">
                  <c:v>4101870</c:v>
                </c:pt>
                <c:pt idx="3">
                  <c:v>5353310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61-475F-80B5-1B16206A7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59392"/>
        <c:axId val="122061184"/>
      </c:barChart>
      <c:catAx>
        <c:axId val="12205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22061184"/>
        <c:crosses val="autoZero"/>
        <c:auto val="1"/>
        <c:lblAlgn val="ctr"/>
        <c:lblOffset val="100"/>
        <c:noMultiLvlLbl val="0"/>
      </c:catAx>
      <c:valAx>
        <c:axId val="12206118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22059392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100" baseline="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年間利益額の販売先別構成比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計算表!$P$3</c:f>
              <c:strCache>
                <c:ptCount val="1"/>
                <c:pt idx="0">
                  <c:v>利益額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計算表!$G$4:$G$9</c:f>
              <c:strCache>
                <c:ptCount val="6"/>
                <c:pt idx="0">
                  <c:v>秋山堂</c:v>
                </c:pt>
                <c:pt idx="1">
                  <c:v>里海洋品店</c:v>
                </c:pt>
                <c:pt idx="2">
                  <c:v>ＯＪＩＭＡ</c:v>
                </c:pt>
                <c:pt idx="3">
                  <c:v>ショップ泉</c:v>
                </c:pt>
                <c:pt idx="4">
                  <c:v>川谷商事</c:v>
                </c:pt>
                <c:pt idx="5">
                  <c:v>岩波百貨</c:v>
                </c:pt>
              </c:strCache>
            </c:strRef>
          </c:cat>
          <c:val>
            <c:numRef>
              <c:f>計算表!$P$4:$P$9</c:f>
              <c:numCache>
                <c:formatCode>#,##0_);[Red]\(#,##0\)</c:formatCode>
                <c:ptCount val="6"/>
                <c:pt idx="0">
                  <c:v>545277</c:v>
                </c:pt>
                <c:pt idx="1">
                  <c:v>532457</c:v>
                </c:pt>
                <c:pt idx="2">
                  <c:v>499936</c:v>
                </c:pt>
                <c:pt idx="3">
                  <c:v>516167</c:v>
                </c:pt>
                <c:pt idx="4">
                  <c:v>461849</c:v>
                </c:pt>
                <c:pt idx="5">
                  <c:v>453745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23-41C5-8B13-8367A5421A3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049" name="グラフ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4097" name="グラフ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6145" name="グラフ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819150</xdr:colOff>
      <xdr:row>18</xdr:row>
      <xdr:rowOff>166687</xdr:rowOff>
    </xdr:from>
    <xdr:to>
      <xdr:col>11</xdr:col>
      <xdr:colOff>742950</xdr:colOff>
      <xdr:row>34</xdr:row>
      <xdr:rowOff>166687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6001258-D264-457C-B7A4-E30BBAD3B6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400050</xdr:colOff>
      <xdr:row>18</xdr:row>
      <xdr:rowOff>157161</xdr:rowOff>
    </xdr:from>
    <xdr:to>
      <xdr:col>19</xdr:col>
      <xdr:colOff>381000</xdr:colOff>
      <xdr:row>35</xdr:row>
      <xdr:rowOff>9524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8039767-F8DB-413D-8CD5-7E368AB748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"/>
  <sheetViews>
    <sheetView workbookViewId="0"/>
  </sheetViews>
  <sheetFormatPr defaultRowHeight="13.5" x14ac:dyDescent="0.15"/>
  <cols>
    <col min="1" max="1" width="7.5" style="1" customWidth="1"/>
    <col min="2" max="2" width="11.625" style="1" bestFit="1" customWidth="1"/>
    <col min="3" max="3" width="9.5" style="1" bestFit="1" customWidth="1"/>
    <col min="4" max="4" width="4.75" style="1" customWidth="1"/>
    <col min="5" max="5" width="7.5" style="1" customWidth="1"/>
    <col min="6" max="6" width="7.5" style="1" bestFit="1" customWidth="1"/>
    <col min="7" max="7" width="6.5" style="1" bestFit="1" customWidth="1"/>
    <col min="8" max="8" width="4.875" style="1" customWidth="1"/>
    <col min="9" max="9" width="7.5" style="1" bestFit="1" customWidth="1"/>
    <col min="10" max="11" width="8.25" style="1" customWidth="1"/>
    <col min="12" max="12" width="4.875" style="1" customWidth="1"/>
    <col min="13" max="13" width="5.5" style="1" bestFit="1" customWidth="1"/>
    <col min="14" max="14" width="7.5" style="1" bestFit="1" customWidth="1"/>
    <col min="15" max="16384" width="9" style="1"/>
  </cols>
  <sheetData>
    <row r="1" spans="1:14" x14ac:dyDescent="0.15">
      <c r="A1" s="15" t="s">
        <v>8</v>
      </c>
      <c r="E1" s="15" t="s">
        <v>3</v>
      </c>
      <c r="F1" s="13"/>
      <c r="G1" s="13"/>
      <c r="I1" s="15" t="s">
        <v>16</v>
      </c>
      <c r="M1" s="59" t="s">
        <v>39</v>
      </c>
    </row>
    <row r="2" spans="1:14" x14ac:dyDescent="0.15">
      <c r="A2" s="31" t="s">
        <v>9</v>
      </c>
      <c r="B2" s="31" t="s">
        <v>10</v>
      </c>
      <c r="C2" s="30" t="s">
        <v>20</v>
      </c>
      <c r="D2"/>
      <c r="E2" s="14" t="s">
        <v>4</v>
      </c>
      <c r="F2" s="14" t="s">
        <v>5</v>
      </c>
      <c r="G2" s="14" t="s">
        <v>6</v>
      </c>
      <c r="I2" s="77" t="s">
        <v>11</v>
      </c>
      <c r="J2" s="75" t="s">
        <v>37</v>
      </c>
      <c r="K2" s="76"/>
      <c r="M2" s="60" t="s">
        <v>35</v>
      </c>
      <c r="N2" s="60" t="s">
        <v>36</v>
      </c>
    </row>
    <row r="3" spans="1:14" x14ac:dyDescent="0.15">
      <c r="A3" s="58" t="s">
        <v>41</v>
      </c>
      <c r="B3" s="29" t="s">
        <v>29</v>
      </c>
      <c r="C3" s="25">
        <v>485300</v>
      </c>
      <c r="D3"/>
      <c r="E3" s="3">
        <v>101</v>
      </c>
      <c r="F3" s="16" t="s">
        <v>26</v>
      </c>
      <c r="G3" s="5">
        <v>1691</v>
      </c>
      <c r="I3" s="78"/>
      <c r="J3" s="61">
        <v>1</v>
      </c>
      <c r="K3" s="3">
        <v>2</v>
      </c>
      <c r="M3" s="58" t="s">
        <v>52</v>
      </c>
      <c r="N3" s="72">
        <v>3.1E-2</v>
      </c>
    </row>
    <row r="4" spans="1:14" x14ac:dyDescent="0.15">
      <c r="A4" s="58" t="s">
        <v>43</v>
      </c>
      <c r="B4" s="29" t="s">
        <v>30</v>
      </c>
      <c r="C4" s="25">
        <v>541800</v>
      </c>
      <c r="D4"/>
      <c r="E4" s="3">
        <v>102</v>
      </c>
      <c r="F4" s="16" t="s">
        <v>27</v>
      </c>
      <c r="G4" s="5">
        <v>2084</v>
      </c>
      <c r="I4" s="3">
        <v>1</v>
      </c>
      <c r="J4" s="24">
        <v>0.32</v>
      </c>
      <c r="K4" s="24">
        <v>0.31</v>
      </c>
      <c r="M4" s="58" t="s">
        <v>53</v>
      </c>
      <c r="N4" s="72">
        <v>3.5000000000000003E-2</v>
      </c>
    </row>
    <row r="5" spans="1:14" x14ac:dyDescent="0.15">
      <c r="A5" s="58" t="s">
        <v>45</v>
      </c>
      <c r="B5" s="29" t="s">
        <v>31</v>
      </c>
      <c r="C5" s="25">
        <v>534000</v>
      </c>
      <c r="D5"/>
      <c r="E5" s="3">
        <v>201</v>
      </c>
      <c r="F5" s="16" t="s">
        <v>28</v>
      </c>
      <c r="G5" s="5">
        <v>1739</v>
      </c>
      <c r="I5" s="3">
        <v>140</v>
      </c>
      <c r="J5" s="24">
        <v>0.28999999999999998</v>
      </c>
      <c r="K5" s="24">
        <v>0.28000000000000003</v>
      </c>
      <c r="M5" s="58" t="s">
        <v>54</v>
      </c>
      <c r="N5" s="72">
        <v>3.6999999999999998E-2</v>
      </c>
    </row>
    <row r="6" spans="1:14" x14ac:dyDescent="0.15">
      <c r="A6" s="58" t="s">
        <v>47</v>
      </c>
      <c r="B6" s="29" t="s">
        <v>32</v>
      </c>
      <c r="C6" s="25">
        <v>510200</v>
      </c>
      <c r="D6"/>
      <c r="E6" s="3">
        <v>202</v>
      </c>
      <c r="F6" s="16" t="s">
        <v>7</v>
      </c>
      <c r="G6" s="5">
        <v>2167</v>
      </c>
      <c r="I6" s="3">
        <v>210</v>
      </c>
      <c r="J6" s="24">
        <v>0.26</v>
      </c>
      <c r="K6" s="24">
        <v>0.25</v>
      </c>
    </row>
    <row r="7" spans="1:14" x14ac:dyDescent="0.15">
      <c r="A7" s="58" t="s">
        <v>49</v>
      </c>
      <c r="B7" s="58" t="s">
        <v>33</v>
      </c>
      <c r="C7" s="69">
        <v>492300</v>
      </c>
    </row>
    <row r="8" spans="1:14" x14ac:dyDescent="0.15">
      <c r="A8" s="58" t="s">
        <v>51</v>
      </c>
      <c r="B8" s="58" t="s">
        <v>34</v>
      </c>
      <c r="C8" s="69">
        <v>452500</v>
      </c>
    </row>
  </sheetData>
  <mergeCells count="2">
    <mergeCell ref="J2:K2"/>
    <mergeCell ref="I2:I3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9"/>
  <sheetViews>
    <sheetView workbookViewId="0"/>
  </sheetViews>
  <sheetFormatPr defaultRowHeight="13.5" x14ac:dyDescent="0.15"/>
  <cols>
    <col min="1" max="1" width="7.5" style="1" bestFit="1" customWidth="1"/>
    <col min="2" max="2" width="11.625" style="1" bestFit="1" customWidth="1"/>
    <col min="3" max="4" width="7.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9" width="10.5" style="1" bestFit="1" customWidth="1"/>
    <col min="10" max="16384" width="9" style="1"/>
  </cols>
  <sheetData>
    <row r="1" spans="1:9" x14ac:dyDescent="0.15">
      <c r="A1" s="39" t="s">
        <v>9</v>
      </c>
      <c r="B1" s="40" t="s">
        <v>10</v>
      </c>
      <c r="C1" s="40" t="s">
        <v>4</v>
      </c>
      <c r="D1" s="40" t="s">
        <v>5</v>
      </c>
      <c r="E1" s="40" t="s">
        <v>11</v>
      </c>
      <c r="F1" s="40" t="s">
        <v>14</v>
      </c>
      <c r="G1" s="40" t="s">
        <v>13</v>
      </c>
      <c r="H1" s="40" t="s">
        <v>12</v>
      </c>
      <c r="I1" s="41" t="s">
        <v>17</v>
      </c>
    </row>
    <row r="2" spans="1:9" x14ac:dyDescent="0.15">
      <c r="A2" s="2" t="s">
        <v>40</v>
      </c>
      <c r="B2" s="44" t="str">
        <f>VLOOKUP(A2,テーブル!$A$3:$C$8,2,0)</f>
        <v>ショップ泉</v>
      </c>
      <c r="C2" s="44">
        <v>101</v>
      </c>
      <c r="D2" s="43" t="str">
        <f>VLOOKUP(C2,テーブル!$E$3:$G$6,2,0)</f>
        <v>商品Ａ</v>
      </c>
      <c r="E2" s="45">
        <v>139</v>
      </c>
      <c r="F2" s="45">
        <f>ROUND(VLOOKUP(C2,テーブル!$E$3:$G$6,3,0)*(1+VLOOKUP(E2,テーブル!$I$4:$K$6,MOD(C2,10)+1,1)),-1)</f>
        <v>2230</v>
      </c>
      <c r="G2" s="46">
        <f>ROUNDUP(IF(OR(E2&gt;=210,F2&gt;=2800),F2*E2*7.9%,F2*E2*6.1%),-1)</f>
        <v>18910</v>
      </c>
      <c r="H2" s="47">
        <f t="shared" ref="H2:H25" si="0">F2*E2-G2</f>
        <v>291060</v>
      </c>
      <c r="I2" s="48">
        <f>H2-VLOOKUP(C2,テーブル!$E$3:$G$6,3,0)*E2</f>
        <v>56011</v>
      </c>
    </row>
    <row r="3" spans="1:9" x14ac:dyDescent="0.15">
      <c r="A3" s="2" t="s">
        <v>40</v>
      </c>
      <c r="B3" s="44" t="str">
        <f>VLOOKUP(A3,テーブル!$A$3:$C$8,2,0)</f>
        <v>ショップ泉</v>
      </c>
      <c r="C3" s="44">
        <v>102</v>
      </c>
      <c r="D3" s="43" t="str">
        <f>VLOOKUP(C3,テーブル!$E$3:$G$6,2,0)</f>
        <v>商品Ｂ</v>
      </c>
      <c r="E3" s="45">
        <v>227</v>
      </c>
      <c r="F3" s="45">
        <f>ROUND(VLOOKUP(C3,テーブル!$E$3:$G$6,3,0)*(1+VLOOKUP(E3,テーブル!$I$4:$K$6,MOD(C3,10)+1,1)),-1)</f>
        <v>2610</v>
      </c>
      <c r="G3" s="46">
        <f t="shared" ref="G3:G25" si="1">ROUNDUP(IF(OR(E3&gt;=210,F3&gt;=2800),F3*E3*7.9%,F3*E3*6.1%),-1)</f>
        <v>46810</v>
      </c>
      <c r="H3" s="47">
        <f t="shared" si="0"/>
        <v>545660</v>
      </c>
      <c r="I3" s="48">
        <f>H3-VLOOKUP(C3,テーブル!$E$3:$G$6,3,0)*E3</f>
        <v>72592</v>
      </c>
    </row>
    <row r="4" spans="1:9" x14ac:dyDescent="0.15">
      <c r="A4" s="2" t="s">
        <v>40</v>
      </c>
      <c r="B4" s="44" t="str">
        <f>VLOOKUP(A4,テーブル!$A$3:$C$8,2,0)</f>
        <v>ショップ泉</v>
      </c>
      <c r="C4" s="44">
        <v>201</v>
      </c>
      <c r="D4" s="43" t="str">
        <f>VLOOKUP(C4,テーブル!$E$3:$G$6,2,0)</f>
        <v>商品Ｃ</v>
      </c>
      <c r="E4" s="45">
        <v>210</v>
      </c>
      <c r="F4" s="45">
        <f>ROUND(VLOOKUP(C4,テーブル!$E$3:$G$6,3,0)*(1+VLOOKUP(E4,テーブル!$I$4:$K$6,MOD(C4,10)+1,1)),-1)</f>
        <v>2190</v>
      </c>
      <c r="G4" s="46">
        <f t="shared" si="1"/>
        <v>36340</v>
      </c>
      <c r="H4" s="47">
        <f t="shared" si="0"/>
        <v>423560</v>
      </c>
      <c r="I4" s="48">
        <f>H4-VLOOKUP(C4,テーブル!$E$3:$G$6,3,0)*E4</f>
        <v>58370</v>
      </c>
    </row>
    <row r="5" spans="1:9" x14ac:dyDescent="0.15">
      <c r="A5" s="2" t="s">
        <v>40</v>
      </c>
      <c r="B5" s="44" t="str">
        <f>VLOOKUP(A5,テーブル!$A$3:$C$8,2,0)</f>
        <v>ショップ泉</v>
      </c>
      <c r="C5" s="44">
        <v>202</v>
      </c>
      <c r="D5" s="43" t="str">
        <f>VLOOKUP(C5,テーブル!$E$3:$G$6,2,0)</f>
        <v>商品Ｄ</v>
      </c>
      <c r="E5" s="45">
        <v>129</v>
      </c>
      <c r="F5" s="45">
        <f>ROUND(VLOOKUP(C5,テーブル!$E$3:$G$6,3,0)*(1+VLOOKUP(E5,テーブル!$I$4:$K$6,MOD(C5,10)+1,1)),-1)</f>
        <v>2840</v>
      </c>
      <c r="G5" s="46">
        <f t="shared" si="1"/>
        <v>28950</v>
      </c>
      <c r="H5" s="47">
        <f t="shared" si="0"/>
        <v>337410</v>
      </c>
      <c r="I5" s="48">
        <f>H5-VLOOKUP(C5,テーブル!$E$3:$G$6,3,0)*E5</f>
        <v>57867</v>
      </c>
    </row>
    <row r="6" spans="1:9" x14ac:dyDescent="0.15">
      <c r="A6" s="2" t="s">
        <v>42</v>
      </c>
      <c r="B6" s="44" t="str">
        <f>VLOOKUP(A6,テーブル!$A$3:$C$8,2,0)</f>
        <v>秋山堂</v>
      </c>
      <c r="C6" s="44">
        <v>101</v>
      </c>
      <c r="D6" s="43" t="str">
        <f>VLOOKUP(C6,テーブル!$E$3:$G$6,2,0)</f>
        <v>商品Ａ</v>
      </c>
      <c r="E6" s="45">
        <v>135</v>
      </c>
      <c r="F6" s="45">
        <f>ROUND(VLOOKUP(C6,テーブル!$E$3:$G$6,3,0)*(1+VLOOKUP(E6,テーブル!$I$4:$K$6,MOD(C6,10)+1,1)),-1)</f>
        <v>2230</v>
      </c>
      <c r="G6" s="46">
        <f t="shared" si="1"/>
        <v>18370</v>
      </c>
      <c r="H6" s="47">
        <f t="shared" si="0"/>
        <v>282680</v>
      </c>
      <c r="I6" s="48">
        <f>H6-VLOOKUP(C6,テーブル!$E$3:$G$6,3,0)*E6</f>
        <v>54395</v>
      </c>
    </row>
    <row r="7" spans="1:9" x14ac:dyDescent="0.15">
      <c r="A7" s="2" t="s">
        <v>42</v>
      </c>
      <c r="B7" s="44" t="str">
        <f>VLOOKUP(A7,テーブル!$A$3:$C$8,2,0)</f>
        <v>秋山堂</v>
      </c>
      <c r="C7" s="44">
        <v>102</v>
      </c>
      <c r="D7" s="43" t="str">
        <f>VLOOKUP(C7,テーブル!$E$3:$G$6,2,0)</f>
        <v>商品Ｂ</v>
      </c>
      <c r="E7" s="45">
        <v>147</v>
      </c>
      <c r="F7" s="45">
        <f>ROUND(VLOOKUP(C7,テーブル!$E$3:$G$6,3,0)*(1+VLOOKUP(E7,テーブル!$I$4:$K$6,MOD(C7,10)+1,1)),-1)</f>
        <v>2670</v>
      </c>
      <c r="G7" s="46">
        <f t="shared" si="1"/>
        <v>23950</v>
      </c>
      <c r="H7" s="47">
        <f t="shared" si="0"/>
        <v>368540</v>
      </c>
      <c r="I7" s="48">
        <f>H7-VLOOKUP(C7,テーブル!$E$3:$G$6,3,0)*E7</f>
        <v>62192</v>
      </c>
    </row>
    <row r="8" spans="1:9" x14ac:dyDescent="0.15">
      <c r="A8" s="2" t="s">
        <v>42</v>
      </c>
      <c r="B8" s="44" t="str">
        <f>VLOOKUP(A8,テーブル!$A$3:$C$8,2,0)</f>
        <v>秋山堂</v>
      </c>
      <c r="C8" s="44">
        <v>201</v>
      </c>
      <c r="D8" s="43" t="str">
        <f>VLOOKUP(C8,テーブル!$E$3:$G$6,2,0)</f>
        <v>商品Ｃ</v>
      </c>
      <c r="E8" s="45">
        <v>173</v>
      </c>
      <c r="F8" s="45">
        <f>ROUND(VLOOKUP(C8,テーブル!$E$3:$G$6,3,0)*(1+VLOOKUP(E8,テーブル!$I$4:$K$6,MOD(C8,10)+1,1)),-1)</f>
        <v>2240</v>
      </c>
      <c r="G8" s="46">
        <f t="shared" si="1"/>
        <v>23640</v>
      </c>
      <c r="H8" s="47">
        <f t="shared" si="0"/>
        <v>363880</v>
      </c>
      <c r="I8" s="48">
        <f>H8-VLOOKUP(C8,テーブル!$E$3:$G$6,3,0)*E8</f>
        <v>63033</v>
      </c>
    </row>
    <row r="9" spans="1:9" x14ac:dyDescent="0.15">
      <c r="A9" s="2" t="s">
        <v>42</v>
      </c>
      <c r="B9" s="44" t="str">
        <f>VLOOKUP(A9,テーブル!$A$3:$C$8,2,0)</f>
        <v>秋山堂</v>
      </c>
      <c r="C9" s="44">
        <v>202</v>
      </c>
      <c r="D9" s="43" t="str">
        <f>VLOOKUP(C9,テーブル!$E$3:$G$6,2,0)</f>
        <v>商品Ｄ</v>
      </c>
      <c r="E9" s="45">
        <v>241</v>
      </c>
      <c r="F9" s="45">
        <f>ROUND(VLOOKUP(C9,テーブル!$E$3:$G$6,3,0)*(1+VLOOKUP(E9,テーブル!$I$4:$K$6,MOD(C9,10)+1,1)),-1)</f>
        <v>2710</v>
      </c>
      <c r="G9" s="46">
        <f t="shared" si="1"/>
        <v>51600</v>
      </c>
      <c r="H9" s="47">
        <f t="shared" si="0"/>
        <v>601510</v>
      </c>
      <c r="I9" s="48">
        <f>H9-VLOOKUP(C9,テーブル!$E$3:$G$6,3,0)*E9</f>
        <v>79263</v>
      </c>
    </row>
    <row r="10" spans="1:9" x14ac:dyDescent="0.15">
      <c r="A10" s="2" t="s">
        <v>44</v>
      </c>
      <c r="B10" s="44" t="str">
        <f>VLOOKUP(A10,テーブル!$A$3:$C$8,2,0)</f>
        <v>里海洋品店</v>
      </c>
      <c r="C10" s="44">
        <v>101</v>
      </c>
      <c r="D10" s="43" t="str">
        <f>VLOOKUP(C10,テーブル!$E$3:$G$6,2,0)</f>
        <v>商品Ａ</v>
      </c>
      <c r="E10" s="45">
        <v>188</v>
      </c>
      <c r="F10" s="45">
        <f>ROUND(VLOOKUP(C10,テーブル!$E$3:$G$6,3,0)*(1+VLOOKUP(E10,テーブル!$I$4:$K$6,MOD(C10,10)+1,1)),-1)</f>
        <v>2180</v>
      </c>
      <c r="G10" s="46">
        <f t="shared" si="1"/>
        <v>25010</v>
      </c>
      <c r="H10" s="47">
        <f t="shared" si="0"/>
        <v>384830</v>
      </c>
      <c r="I10" s="48">
        <f>H10-VLOOKUP(C10,テーブル!$E$3:$G$6,3,0)*E10</f>
        <v>66922</v>
      </c>
    </row>
    <row r="11" spans="1:9" x14ac:dyDescent="0.15">
      <c r="A11" s="2" t="s">
        <v>44</v>
      </c>
      <c r="B11" s="44" t="str">
        <f>VLOOKUP(A11,テーブル!$A$3:$C$8,2,0)</f>
        <v>里海洋品店</v>
      </c>
      <c r="C11" s="44">
        <v>102</v>
      </c>
      <c r="D11" s="43" t="str">
        <f>VLOOKUP(C11,テーブル!$E$3:$G$6,2,0)</f>
        <v>商品Ｂ</v>
      </c>
      <c r="E11" s="45">
        <v>205</v>
      </c>
      <c r="F11" s="45">
        <f>ROUND(VLOOKUP(C11,テーブル!$E$3:$G$6,3,0)*(1+VLOOKUP(E11,テーブル!$I$4:$K$6,MOD(C11,10)+1,1)),-1)</f>
        <v>2670</v>
      </c>
      <c r="G11" s="46">
        <f t="shared" si="1"/>
        <v>33390</v>
      </c>
      <c r="H11" s="47">
        <f t="shared" si="0"/>
        <v>513960</v>
      </c>
      <c r="I11" s="48">
        <f>H11-VLOOKUP(C11,テーブル!$E$3:$G$6,3,0)*E11</f>
        <v>86740</v>
      </c>
    </row>
    <row r="12" spans="1:9" x14ac:dyDescent="0.15">
      <c r="A12" s="2" t="s">
        <v>44</v>
      </c>
      <c r="B12" s="44" t="str">
        <f>VLOOKUP(A12,テーブル!$A$3:$C$8,2,0)</f>
        <v>里海洋品店</v>
      </c>
      <c r="C12" s="44">
        <v>201</v>
      </c>
      <c r="D12" s="43" t="str">
        <f>VLOOKUP(C12,テーブル!$E$3:$G$6,2,0)</f>
        <v>商品Ｃ</v>
      </c>
      <c r="E12" s="45">
        <v>241</v>
      </c>
      <c r="F12" s="45">
        <f>ROUND(VLOOKUP(C12,テーブル!$E$3:$G$6,3,0)*(1+VLOOKUP(E12,テーブル!$I$4:$K$6,MOD(C12,10)+1,1)),-1)</f>
        <v>2190</v>
      </c>
      <c r="G12" s="46">
        <f t="shared" si="1"/>
        <v>41700</v>
      </c>
      <c r="H12" s="47">
        <f t="shared" si="0"/>
        <v>486090</v>
      </c>
      <c r="I12" s="48">
        <f>H12-VLOOKUP(C12,テーブル!$E$3:$G$6,3,0)*E12</f>
        <v>66991</v>
      </c>
    </row>
    <row r="13" spans="1:9" x14ac:dyDescent="0.15">
      <c r="A13" s="2" t="s">
        <v>44</v>
      </c>
      <c r="B13" s="44" t="str">
        <f>VLOOKUP(A13,テーブル!$A$3:$C$8,2,0)</f>
        <v>里海洋品店</v>
      </c>
      <c r="C13" s="44">
        <v>202</v>
      </c>
      <c r="D13" s="43" t="str">
        <f>VLOOKUP(C13,テーブル!$E$3:$G$6,2,0)</f>
        <v>商品Ｄ</v>
      </c>
      <c r="E13" s="45">
        <v>250</v>
      </c>
      <c r="F13" s="45">
        <f>ROUND(VLOOKUP(C13,テーブル!$E$3:$G$6,3,0)*(1+VLOOKUP(E13,テーブル!$I$4:$K$6,MOD(C13,10)+1,1)),-1)</f>
        <v>2710</v>
      </c>
      <c r="G13" s="46">
        <f t="shared" si="1"/>
        <v>53530</v>
      </c>
      <c r="H13" s="47">
        <f t="shared" si="0"/>
        <v>623970</v>
      </c>
      <c r="I13" s="48">
        <f>H13-VLOOKUP(C13,テーブル!$E$3:$G$6,3,0)*E13</f>
        <v>82220</v>
      </c>
    </row>
    <row r="14" spans="1:9" x14ac:dyDescent="0.15">
      <c r="A14" s="2" t="s">
        <v>46</v>
      </c>
      <c r="B14" s="44" t="str">
        <f>VLOOKUP(A14,テーブル!$A$3:$C$8,2,0)</f>
        <v>ＯＪＩＭＡ</v>
      </c>
      <c r="C14" s="44">
        <v>101</v>
      </c>
      <c r="D14" s="43" t="str">
        <f>VLOOKUP(C14,テーブル!$E$3:$G$6,2,0)</f>
        <v>商品Ａ</v>
      </c>
      <c r="E14" s="45">
        <v>178</v>
      </c>
      <c r="F14" s="45">
        <f>ROUND(VLOOKUP(C14,テーブル!$E$3:$G$6,3,0)*(1+VLOOKUP(E14,テーブル!$I$4:$K$6,MOD(C14,10)+1,1)),-1)</f>
        <v>2180</v>
      </c>
      <c r="G14" s="46">
        <f t="shared" si="1"/>
        <v>23680</v>
      </c>
      <c r="H14" s="47">
        <f t="shared" si="0"/>
        <v>364360</v>
      </c>
      <c r="I14" s="48">
        <f>H14-VLOOKUP(C14,テーブル!$E$3:$G$6,3,0)*E14</f>
        <v>63362</v>
      </c>
    </row>
    <row r="15" spans="1:9" x14ac:dyDescent="0.15">
      <c r="A15" s="2" t="s">
        <v>46</v>
      </c>
      <c r="B15" s="44" t="str">
        <f>VLOOKUP(A15,テーブル!$A$3:$C$8,2,0)</f>
        <v>ＯＪＩＭＡ</v>
      </c>
      <c r="C15" s="44">
        <v>102</v>
      </c>
      <c r="D15" s="43" t="str">
        <f>VLOOKUP(C15,テーブル!$E$3:$G$6,2,0)</f>
        <v>商品Ｂ</v>
      </c>
      <c r="E15" s="45">
        <v>137</v>
      </c>
      <c r="F15" s="45">
        <f>ROUND(VLOOKUP(C15,テーブル!$E$3:$G$6,3,0)*(1+VLOOKUP(E15,テーブル!$I$4:$K$6,MOD(C15,10)+1,1)),-1)</f>
        <v>2730</v>
      </c>
      <c r="G15" s="46">
        <f t="shared" si="1"/>
        <v>22820</v>
      </c>
      <c r="H15" s="47">
        <f t="shared" si="0"/>
        <v>351190</v>
      </c>
      <c r="I15" s="48">
        <f>H15-VLOOKUP(C15,テーブル!$E$3:$G$6,3,0)*E15</f>
        <v>65682</v>
      </c>
    </row>
    <row r="16" spans="1:9" x14ac:dyDescent="0.15">
      <c r="A16" s="2" t="s">
        <v>46</v>
      </c>
      <c r="B16" s="44" t="str">
        <f>VLOOKUP(A16,テーブル!$A$3:$C$8,2,0)</f>
        <v>ＯＪＩＭＡ</v>
      </c>
      <c r="C16" s="44">
        <v>201</v>
      </c>
      <c r="D16" s="43" t="str">
        <f>VLOOKUP(C16,テーブル!$E$3:$G$6,2,0)</f>
        <v>商品Ｃ</v>
      </c>
      <c r="E16" s="45">
        <v>242</v>
      </c>
      <c r="F16" s="45">
        <f>ROUND(VLOOKUP(C16,テーブル!$E$3:$G$6,3,0)*(1+VLOOKUP(E16,テーブル!$I$4:$K$6,MOD(C16,10)+1,1)),-1)</f>
        <v>2190</v>
      </c>
      <c r="G16" s="46">
        <f t="shared" si="1"/>
        <v>41870</v>
      </c>
      <c r="H16" s="47">
        <f t="shared" si="0"/>
        <v>488110</v>
      </c>
      <c r="I16" s="48">
        <f>H16-VLOOKUP(C16,テーブル!$E$3:$G$6,3,0)*E16</f>
        <v>67272</v>
      </c>
    </row>
    <row r="17" spans="1:10" x14ac:dyDescent="0.15">
      <c r="A17" s="2" t="s">
        <v>46</v>
      </c>
      <c r="B17" s="44" t="str">
        <f>VLOOKUP(A17,テーブル!$A$3:$C$8,2,0)</f>
        <v>ＯＪＩＭＡ</v>
      </c>
      <c r="C17" s="44">
        <v>202</v>
      </c>
      <c r="D17" s="43" t="str">
        <f>VLOOKUP(C17,テーブル!$E$3:$G$6,2,0)</f>
        <v>商品Ｄ</v>
      </c>
      <c r="E17" s="45">
        <v>125</v>
      </c>
      <c r="F17" s="45">
        <f>ROUND(VLOOKUP(C17,テーブル!$E$3:$G$6,3,0)*(1+VLOOKUP(E17,テーブル!$I$4:$K$6,MOD(C17,10)+1,1)),-1)</f>
        <v>2840</v>
      </c>
      <c r="G17" s="46">
        <f t="shared" si="1"/>
        <v>28050</v>
      </c>
      <c r="H17" s="47">
        <f t="shared" si="0"/>
        <v>326950</v>
      </c>
      <c r="I17" s="48">
        <f>H17-VLOOKUP(C17,テーブル!$E$3:$G$6,3,0)*E17</f>
        <v>56075</v>
      </c>
    </row>
    <row r="18" spans="1:10" x14ac:dyDescent="0.15">
      <c r="A18" s="2" t="s">
        <v>48</v>
      </c>
      <c r="B18" s="44" t="str">
        <f>VLOOKUP(A18,テーブル!$A$3:$C$8,2,0)</f>
        <v>川谷商事</v>
      </c>
      <c r="C18" s="44">
        <v>101</v>
      </c>
      <c r="D18" s="43" t="str">
        <f>VLOOKUP(C18,テーブル!$E$3:$G$6,2,0)</f>
        <v>商品Ａ</v>
      </c>
      <c r="E18" s="45">
        <v>102</v>
      </c>
      <c r="F18" s="45">
        <f>ROUND(VLOOKUP(C18,テーブル!$E$3:$G$6,3,0)*(1+VLOOKUP(E18,テーブル!$I$4:$K$6,MOD(C18,10)+1,1)),-1)</f>
        <v>2230</v>
      </c>
      <c r="G18" s="46">
        <f t="shared" si="1"/>
        <v>13880</v>
      </c>
      <c r="H18" s="47">
        <f t="shared" si="0"/>
        <v>213580</v>
      </c>
      <c r="I18" s="48">
        <f>H18-VLOOKUP(C18,テーブル!$E$3:$G$6,3,0)*E18</f>
        <v>41098</v>
      </c>
    </row>
    <row r="19" spans="1:10" x14ac:dyDescent="0.15">
      <c r="A19" s="2" t="s">
        <v>48</v>
      </c>
      <c r="B19" s="44" t="str">
        <f>VLOOKUP(A19,テーブル!$A$3:$C$8,2,0)</f>
        <v>川谷商事</v>
      </c>
      <c r="C19" s="44">
        <v>102</v>
      </c>
      <c r="D19" s="43" t="str">
        <f>VLOOKUP(C19,テーブル!$E$3:$G$6,2,0)</f>
        <v>商品Ｂ</v>
      </c>
      <c r="E19" s="45">
        <v>212</v>
      </c>
      <c r="F19" s="45">
        <f>ROUND(VLOOKUP(C19,テーブル!$E$3:$G$6,3,0)*(1+VLOOKUP(E19,テーブル!$I$4:$K$6,MOD(C19,10)+1,1)),-1)</f>
        <v>2610</v>
      </c>
      <c r="G19" s="46">
        <f t="shared" si="1"/>
        <v>43720</v>
      </c>
      <c r="H19" s="47">
        <f t="shared" si="0"/>
        <v>509600</v>
      </c>
      <c r="I19" s="48">
        <f>H19-VLOOKUP(C19,テーブル!$E$3:$G$6,3,0)*E19</f>
        <v>67792</v>
      </c>
    </row>
    <row r="20" spans="1:10" x14ac:dyDescent="0.15">
      <c r="A20" s="2" t="s">
        <v>48</v>
      </c>
      <c r="B20" s="44" t="str">
        <f>VLOOKUP(A20,テーブル!$A$3:$C$8,2,0)</f>
        <v>川谷商事</v>
      </c>
      <c r="C20" s="44">
        <v>201</v>
      </c>
      <c r="D20" s="43" t="str">
        <f>VLOOKUP(C20,テーブル!$E$3:$G$6,2,0)</f>
        <v>商品Ｃ</v>
      </c>
      <c r="E20" s="45">
        <v>140</v>
      </c>
      <c r="F20" s="45">
        <f>ROUND(VLOOKUP(C20,テーブル!$E$3:$G$6,3,0)*(1+VLOOKUP(E20,テーブル!$I$4:$K$6,MOD(C20,10)+1,1)),-1)</f>
        <v>2240</v>
      </c>
      <c r="G20" s="46">
        <f t="shared" si="1"/>
        <v>19130</v>
      </c>
      <c r="H20" s="47">
        <f t="shared" si="0"/>
        <v>294470</v>
      </c>
      <c r="I20" s="48">
        <f>H20-VLOOKUP(C20,テーブル!$E$3:$G$6,3,0)*E20</f>
        <v>51010</v>
      </c>
    </row>
    <row r="21" spans="1:10" x14ac:dyDescent="0.15">
      <c r="A21" s="2" t="s">
        <v>48</v>
      </c>
      <c r="B21" s="44" t="str">
        <f>VLOOKUP(A21,テーブル!$A$3:$C$8,2,0)</f>
        <v>川谷商事</v>
      </c>
      <c r="C21" s="44">
        <v>202</v>
      </c>
      <c r="D21" s="43" t="str">
        <f>VLOOKUP(C21,テーブル!$E$3:$G$6,2,0)</f>
        <v>商品Ｄ</v>
      </c>
      <c r="E21" s="45">
        <v>189</v>
      </c>
      <c r="F21" s="45">
        <f>ROUND(VLOOKUP(C21,テーブル!$E$3:$G$6,3,0)*(1+VLOOKUP(E21,テーブル!$I$4:$K$6,MOD(C21,10)+1,1)),-1)</f>
        <v>2770</v>
      </c>
      <c r="G21" s="46">
        <f t="shared" si="1"/>
        <v>31940</v>
      </c>
      <c r="H21" s="47">
        <f t="shared" si="0"/>
        <v>491590</v>
      </c>
      <c r="I21" s="48">
        <f>H21-VLOOKUP(C21,テーブル!$E$3:$G$6,3,0)*E21</f>
        <v>82027</v>
      </c>
    </row>
    <row r="22" spans="1:10" x14ac:dyDescent="0.15">
      <c r="A22" s="2" t="s">
        <v>50</v>
      </c>
      <c r="B22" s="44" t="str">
        <f>VLOOKUP(A22,テーブル!$A$3:$C$8,2,0)</f>
        <v>岩波百貨</v>
      </c>
      <c r="C22" s="44">
        <v>101</v>
      </c>
      <c r="D22" s="43" t="str">
        <f>VLOOKUP(C22,テーブル!$E$3:$G$6,2,0)</f>
        <v>商品Ａ</v>
      </c>
      <c r="E22" s="45">
        <v>243</v>
      </c>
      <c r="F22" s="45">
        <f>ROUND(VLOOKUP(C22,テーブル!$E$3:$G$6,3,0)*(1+VLOOKUP(E22,テーブル!$I$4:$K$6,MOD(C22,10)+1,1)),-1)</f>
        <v>2130</v>
      </c>
      <c r="G22" s="46">
        <f t="shared" si="1"/>
        <v>40890</v>
      </c>
      <c r="H22" s="47">
        <f t="shared" si="0"/>
        <v>476700</v>
      </c>
      <c r="I22" s="48">
        <f>H22-VLOOKUP(C22,テーブル!$E$3:$G$6,3,0)*E22</f>
        <v>65787</v>
      </c>
    </row>
    <row r="23" spans="1:10" x14ac:dyDescent="0.15">
      <c r="A23" s="2" t="s">
        <v>50</v>
      </c>
      <c r="B23" s="44" t="str">
        <f>VLOOKUP(A23,テーブル!$A$3:$C$8,2,0)</f>
        <v>岩波百貨</v>
      </c>
      <c r="C23" s="44">
        <v>102</v>
      </c>
      <c r="D23" s="43" t="str">
        <f>VLOOKUP(C23,テーブル!$E$3:$G$6,2,0)</f>
        <v>商品Ｂ</v>
      </c>
      <c r="E23" s="45">
        <v>168</v>
      </c>
      <c r="F23" s="45">
        <f>ROUND(VLOOKUP(C23,テーブル!$E$3:$G$6,3,0)*(1+VLOOKUP(E23,テーブル!$I$4:$K$6,MOD(C23,10)+1,1)),-1)</f>
        <v>2670</v>
      </c>
      <c r="G23" s="46">
        <f t="shared" si="1"/>
        <v>27370</v>
      </c>
      <c r="H23" s="47">
        <f t="shared" si="0"/>
        <v>421190</v>
      </c>
      <c r="I23" s="48">
        <f>H23-VLOOKUP(C23,テーブル!$E$3:$G$6,3,0)*E23</f>
        <v>71078</v>
      </c>
    </row>
    <row r="24" spans="1:10" x14ac:dyDescent="0.15">
      <c r="A24" s="2" t="s">
        <v>50</v>
      </c>
      <c r="B24" s="44" t="str">
        <f>VLOOKUP(A24,テーブル!$A$3:$C$8,2,0)</f>
        <v>岩波百貨</v>
      </c>
      <c r="C24" s="44">
        <v>201</v>
      </c>
      <c r="D24" s="43" t="str">
        <f>VLOOKUP(C24,テーブル!$E$3:$G$6,2,0)</f>
        <v>商品Ｃ</v>
      </c>
      <c r="E24" s="45">
        <v>87</v>
      </c>
      <c r="F24" s="45">
        <f>ROUND(VLOOKUP(C24,テーブル!$E$3:$G$6,3,0)*(1+VLOOKUP(E24,テーブル!$I$4:$K$6,MOD(C24,10)+1,1)),-1)</f>
        <v>2300</v>
      </c>
      <c r="G24" s="46">
        <f t="shared" si="1"/>
        <v>12210</v>
      </c>
      <c r="H24" s="47">
        <f t="shared" si="0"/>
        <v>187890</v>
      </c>
      <c r="I24" s="48">
        <f>H24-VLOOKUP(C24,テーブル!$E$3:$G$6,3,0)*E24</f>
        <v>36597</v>
      </c>
    </row>
    <row r="25" spans="1:10" x14ac:dyDescent="0.15">
      <c r="A25" s="2" t="s">
        <v>50</v>
      </c>
      <c r="B25" s="44" t="str">
        <f>VLOOKUP(A25,テーブル!$A$3:$C$8,2,0)</f>
        <v>岩波百貨</v>
      </c>
      <c r="C25" s="44">
        <v>202</v>
      </c>
      <c r="D25" s="43" t="str">
        <f>VLOOKUP(C25,テーブル!$E$3:$G$6,2,0)</f>
        <v>商品Ｄ</v>
      </c>
      <c r="E25" s="45">
        <v>120</v>
      </c>
      <c r="F25" s="45">
        <f>ROUND(VLOOKUP(C25,テーブル!$E$3:$G$6,3,0)*(1+VLOOKUP(E25,テーブル!$I$4:$K$6,MOD(C25,10)+1,1)),-1)</f>
        <v>2840</v>
      </c>
      <c r="G25" s="46">
        <f t="shared" si="1"/>
        <v>26930</v>
      </c>
      <c r="H25" s="47">
        <f t="shared" si="0"/>
        <v>313870</v>
      </c>
      <c r="I25" s="48">
        <f>H25-VLOOKUP(C25,テーブル!$E$3:$G$6,3,0)*E25</f>
        <v>53830</v>
      </c>
    </row>
    <row r="26" spans="1:10" x14ac:dyDescent="0.15">
      <c r="A26" s="42"/>
      <c r="B26" s="44"/>
      <c r="C26" s="44"/>
      <c r="D26" s="49"/>
      <c r="E26" s="44"/>
      <c r="F26" s="44"/>
      <c r="G26" s="44"/>
      <c r="H26" s="44"/>
      <c r="I26" s="50"/>
    </row>
    <row r="27" spans="1:10" ht="14.25" thickBot="1" x14ac:dyDescent="0.2">
      <c r="A27" s="51"/>
      <c r="B27" s="54" t="s">
        <v>38</v>
      </c>
      <c r="C27" s="53"/>
      <c r="D27" s="52"/>
      <c r="E27" s="55">
        <f>SUM(E2:E25)</f>
        <v>4228</v>
      </c>
      <c r="F27" s="55"/>
      <c r="G27" s="55">
        <f>SUM(G2:G25)</f>
        <v>734690</v>
      </c>
      <c r="H27" s="55">
        <f>SUM(H2:H25)</f>
        <v>9662650</v>
      </c>
      <c r="I27" s="56">
        <f>SUM(I2:I25)</f>
        <v>1528206</v>
      </c>
      <c r="J27" s="1" t="s">
        <v>56</v>
      </c>
    </row>
    <row r="29" spans="1:10" x14ac:dyDescent="0.15">
      <c r="F29" s="19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9"/>
  <sheetViews>
    <sheetView workbookViewId="0"/>
  </sheetViews>
  <sheetFormatPr defaultRowHeight="13.5" x14ac:dyDescent="0.15"/>
  <cols>
    <col min="1" max="1" width="7.5" style="1" bestFit="1" customWidth="1"/>
    <col min="2" max="2" width="11.625" style="1" bestFit="1" customWidth="1"/>
    <col min="3" max="4" width="7.5" style="1" bestFit="1" customWidth="1"/>
    <col min="5" max="5" width="7.5" style="1" customWidth="1"/>
    <col min="6" max="6" width="6.5" style="1" bestFit="1" customWidth="1"/>
    <col min="7" max="7" width="8.5" style="1" bestFit="1" customWidth="1"/>
    <col min="8" max="9" width="10.5" style="1" bestFit="1" customWidth="1"/>
    <col min="10" max="16384" width="9" style="1"/>
  </cols>
  <sheetData>
    <row r="1" spans="1:9" x14ac:dyDescent="0.15">
      <c r="A1" s="39" t="s">
        <v>9</v>
      </c>
      <c r="B1" s="40" t="s">
        <v>10</v>
      </c>
      <c r="C1" s="40" t="s">
        <v>4</v>
      </c>
      <c r="D1" s="40" t="s">
        <v>5</v>
      </c>
      <c r="E1" s="40" t="s">
        <v>11</v>
      </c>
      <c r="F1" s="40" t="s">
        <v>14</v>
      </c>
      <c r="G1" s="40" t="s">
        <v>13</v>
      </c>
      <c r="H1" s="40" t="s">
        <v>12</v>
      </c>
      <c r="I1" s="41" t="s">
        <v>17</v>
      </c>
    </row>
    <row r="2" spans="1:9" x14ac:dyDescent="0.15">
      <c r="A2" s="2" t="s">
        <v>40</v>
      </c>
      <c r="B2" s="44" t="str">
        <f>VLOOKUP(A2,テーブル!$A$3:$C$8,2,0)</f>
        <v>ショップ泉</v>
      </c>
      <c r="C2" s="44">
        <v>101</v>
      </c>
      <c r="D2" s="43" t="str">
        <f>VLOOKUP(C2,テーブル!$E$3:$G$6,2,0)</f>
        <v>商品Ａ</v>
      </c>
      <c r="E2" s="57">
        <v>198</v>
      </c>
      <c r="F2" s="45">
        <f>ROUND(VLOOKUP(C2,テーブル!$E$3:$G$6,3,0)*(1+VLOOKUP(E2,テーブル!$I$4:$K$6,MOD(C2,10)+1,1)),-1)</f>
        <v>2180</v>
      </c>
      <c r="G2" s="46">
        <f>ROUNDUP(IF(OR(E2&gt;=210,F2&gt;=2800),F2*E2*7.9%,F2*E2*6.1%),-1)</f>
        <v>26340</v>
      </c>
      <c r="H2" s="47">
        <f t="shared" ref="H2:H25" si="0">F2*E2-G2</f>
        <v>405300</v>
      </c>
      <c r="I2" s="48">
        <f>H2-VLOOKUP(C2,テーブル!$E$3:$G$6,3,0)*E2</f>
        <v>70482</v>
      </c>
    </row>
    <row r="3" spans="1:9" x14ac:dyDescent="0.15">
      <c r="A3" s="2" t="s">
        <v>40</v>
      </c>
      <c r="B3" s="44" t="str">
        <f>VLOOKUP(A3,テーブル!$A$3:$C$8,2,0)</f>
        <v>ショップ泉</v>
      </c>
      <c r="C3" s="44">
        <v>102</v>
      </c>
      <c r="D3" s="43" t="str">
        <f>VLOOKUP(C3,テーブル!$E$3:$G$6,2,0)</f>
        <v>商品Ｂ</v>
      </c>
      <c r="E3" s="57">
        <v>208</v>
      </c>
      <c r="F3" s="45">
        <f>ROUND(VLOOKUP(C3,テーブル!$E$3:$G$6,3,0)*(1+VLOOKUP(E3,テーブル!$I$4:$K$6,MOD(C3,10)+1,1)),-1)</f>
        <v>2670</v>
      </c>
      <c r="G3" s="46">
        <f t="shared" ref="G3:G25" si="1">ROUNDUP(IF(OR(E3&gt;=210,F3&gt;=2800),F3*E3*7.9%,F3*E3*6.1%),-1)</f>
        <v>33880</v>
      </c>
      <c r="H3" s="47">
        <f t="shared" si="0"/>
        <v>521480</v>
      </c>
      <c r="I3" s="48">
        <f>H3-VLOOKUP(C3,テーブル!$E$3:$G$6,3,0)*E3</f>
        <v>88008</v>
      </c>
    </row>
    <row r="4" spans="1:9" x14ac:dyDescent="0.15">
      <c r="A4" s="2" t="s">
        <v>40</v>
      </c>
      <c r="B4" s="44" t="str">
        <f>VLOOKUP(A4,テーブル!$A$3:$C$8,2,0)</f>
        <v>ショップ泉</v>
      </c>
      <c r="C4" s="44">
        <v>201</v>
      </c>
      <c r="D4" s="43" t="str">
        <f>VLOOKUP(C4,テーブル!$E$3:$G$6,2,0)</f>
        <v>商品Ｃ</v>
      </c>
      <c r="E4" s="57">
        <v>120</v>
      </c>
      <c r="F4" s="45">
        <f>ROUND(VLOOKUP(C4,テーブル!$E$3:$G$6,3,0)*(1+VLOOKUP(E4,テーブル!$I$4:$K$6,MOD(C4,10)+1,1)),-1)</f>
        <v>2300</v>
      </c>
      <c r="G4" s="46">
        <f t="shared" si="1"/>
        <v>16840</v>
      </c>
      <c r="H4" s="47">
        <f t="shared" si="0"/>
        <v>259160</v>
      </c>
      <c r="I4" s="48">
        <f>H4-VLOOKUP(C4,テーブル!$E$3:$G$6,3,0)*E4</f>
        <v>50480</v>
      </c>
    </row>
    <row r="5" spans="1:9" x14ac:dyDescent="0.15">
      <c r="A5" s="2" t="s">
        <v>40</v>
      </c>
      <c r="B5" s="44" t="str">
        <f>VLOOKUP(A5,テーブル!$A$3:$C$8,2,0)</f>
        <v>ショップ泉</v>
      </c>
      <c r="C5" s="44">
        <v>202</v>
      </c>
      <c r="D5" s="43" t="str">
        <f>VLOOKUP(C5,テーブル!$E$3:$G$6,2,0)</f>
        <v>商品Ｄ</v>
      </c>
      <c r="E5" s="45">
        <v>139</v>
      </c>
      <c r="F5" s="45">
        <f>ROUND(VLOOKUP(C5,テーブル!$E$3:$G$6,3,0)*(1+VLOOKUP(E5,テーブル!$I$4:$K$6,MOD(C5,10)+1,1)),-1)</f>
        <v>2840</v>
      </c>
      <c r="G5" s="46">
        <f t="shared" si="1"/>
        <v>31190</v>
      </c>
      <c r="H5" s="47">
        <f t="shared" si="0"/>
        <v>363570</v>
      </c>
      <c r="I5" s="48">
        <f>H5-VLOOKUP(C5,テーブル!$E$3:$G$6,3,0)*E5</f>
        <v>62357</v>
      </c>
    </row>
    <row r="6" spans="1:9" x14ac:dyDescent="0.15">
      <c r="A6" s="2" t="s">
        <v>42</v>
      </c>
      <c r="B6" s="44" t="str">
        <f>VLOOKUP(A6,テーブル!$A$3:$C$8,2,0)</f>
        <v>秋山堂</v>
      </c>
      <c r="C6" s="44">
        <v>101</v>
      </c>
      <c r="D6" s="43" t="str">
        <f>VLOOKUP(C6,テーブル!$E$3:$G$6,2,0)</f>
        <v>商品Ａ</v>
      </c>
      <c r="E6" s="57">
        <v>216</v>
      </c>
      <c r="F6" s="45">
        <f>ROUND(VLOOKUP(C6,テーブル!$E$3:$G$6,3,0)*(1+VLOOKUP(E6,テーブル!$I$4:$K$6,MOD(C6,10)+1,1)),-1)</f>
        <v>2130</v>
      </c>
      <c r="G6" s="46">
        <f t="shared" si="1"/>
        <v>36350</v>
      </c>
      <c r="H6" s="47">
        <f t="shared" si="0"/>
        <v>423730</v>
      </c>
      <c r="I6" s="48">
        <f>H6-VLOOKUP(C6,テーブル!$E$3:$G$6,3,0)*E6</f>
        <v>58474</v>
      </c>
    </row>
    <row r="7" spans="1:9" x14ac:dyDescent="0.15">
      <c r="A7" s="2" t="s">
        <v>42</v>
      </c>
      <c r="B7" s="44" t="str">
        <f>VLOOKUP(A7,テーブル!$A$3:$C$8,2,0)</f>
        <v>秋山堂</v>
      </c>
      <c r="C7" s="44">
        <v>102</v>
      </c>
      <c r="D7" s="43" t="str">
        <f>VLOOKUP(C7,テーブル!$E$3:$G$6,2,0)</f>
        <v>商品Ｂ</v>
      </c>
      <c r="E7" s="57">
        <v>246</v>
      </c>
      <c r="F7" s="45">
        <f>ROUND(VLOOKUP(C7,テーブル!$E$3:$G$6,3,0)*(1+VLOOKUP(E7,テーブル!$I$4:$K$6,MOD(C7,10)+1,1)),-1)</f>
        <v>2610</v>
      </c>
      <c r="G7" s="46">
        <f t="shared" si="1"/>
        <v>50730</v>
      </c>
      <c r="H7" s="47">
        <f t="shared" si="0"/>
        <v>591330</v>
      </c>
      <c r="I7" s="48">
        <f>H7-VLOOKUP(C7,テーブル!$E$3:$G$6,3,0)*E7</f>
        <v>78666</v>
      </c>
    </row>
    <row r="8" spans="1:9" x14ac:dyDescent="0.15">
      <c r="A8" s="2" t="s">
        <v>42</v>
      </c>
      <c r="B8" s="44" t="str">
        <f>VLOOKUP(A8,テーブル!$A$3:$C$8,2,0)</f>
        <v>秋山堂</v>
      </c>
      <c r="C8" s="44">
        <v>201</v>
      </c>
      <c r="D8" s="43" t="str">
        <f>VLOOKUP(C8,テーブル!$E$3:$G$6,2,0)</f>
        <v>商品Ｃ</v>
      </c>
      <c r="E8" s="57">
        <v>184</v>
      </c>
      <c r="F8" s="45">
        <f>ROUND(VLOOKUP(C8,テーブル!$E$3:$G$6,3,0)*(1+VLOOKUP(E8,テーブル!$I$4:$K$6,MOD(C8,10)+1,1)),-1)</f>
        <v>2240</v>
      </c>
      <c r="G8" s="46">
        <f t="shared" si="1"/>
        <v>25150</v>
      </c>
      <c r="H8" s="47">
        <f t="shared" si="0"/>
        <v>387010</v>
      </c>
      <c r="I8" s="48">
        <f>H8-VLOOKUP(C8,テーブル!$E$3:$G$6,3,0)*E8</f>
        <v>67034</v>
      </c>
    </row>
    <row r="9" spans="1:9" x14ac:dyDescent="0.15">
      <c r="A9" s="2" t="s">
        <v>42</v>
      </c>
      <c r="B9" s="44" t="str">
        <f>VLOOKUP(A9,テーブル!$A$3:$C$8,2,0)</f>
        <v>秋山堂</v>
      </c>
      <c r="C9" s="44">
        <v>202</v>
      </c>
      <c r="D9" s="43" t="str">
        <f>VLOOKUP(C9,テーブル!$E$3:$G$6,2,0)</f>
        <v>商品Ｄ</v>
      </c>
      <c r="E9" s="57">
        <v>250</v>
      </c>
      <c r="F9" s="45">
        <f>ROUND(VLOOKUP(C9,テーブル!$E$3:$G$6,3,0)*(1+VLOOKUP(E9,テーブル!$I$4:$K$6,MOD(C9,10)+1,1)),-1)</f>
        <v>2710</v>
      </c>
      <c r="G9" s="46">
        <f t="shared" si="1"/>
        <v>53530</v>
      </c>
      <c r="H9" s="47">
        <f t="shared" si="0"/>
        <v>623970</v>
      </c>
      <c r="I9" s="48">
        <f>H9-VLOOKUP(C9,テーブル!$E$3:$G$6,3,0)*E9</f>
        <v>82220</v>
      </c>
    </row>
    <row r="10" spans="1:9" x14ac:dyDescent="0.15">
      <c r="A10" s="2" t="s">
        <v>44</v>
      </c>
      <c r="B10" s="44" t="str">
        <f>VLOOKUP(A10,テーブル!$A$3:$C$8,2,0)</f>
        <v>里海洋品店</v>
      </c>
      <c r="C10" s="44">
        <v>101</v>
      </c>
      <c r="D10" s="43" t="str">
        <f>VLOOKUP(C10,テーブル!$E$3:$G$6,2,0)</f>
        <v>商品Ａ</v>
      </c>
      <c r="E10" s="57">
        <v>211</v>
      </c>
      <c r="F10" s="45">
        <f>ROUND(VLOOKUP(C10,テーブル!$E$3:$G$6,3,0)*(1+VLOOKUP(E10,テーブル!$I$4:$K$6,MOD(C10,10)+1,1)),-1)</f>
        <v>2130</v>
      </c>
      <c r="G10" s="46">
        <f t="shared" si="1"/>
        <v>35510</v>
      </c>
      <c r="H10" s="47">
        <f t="shared" si="0"/>
        <v>413920</v>
      </c>
      <c r="I10" s="48">
        <f>H10-VLOOKUP(C10,テーブル!$E$3:$G$6,3,0)*E10</f>
        <v>57119</v>
      </c>
    </row>
    <row r="11" spans="1:9" x14ac:dyDescent="0.15">
      <c r="A11" s="2" t="s">
        <v>44</v>
      </c>
      <c r="B11" s="44" t="str">
        <f>VLOOKUP(A11,テーブル!$A$3:$C$8,2,0)</f>
        <v>里海洋品店</v>
      </c>
      <c r="C11" s="44">
        <v>102</v>
      </c>
      <c r="D11" s="43" t="str">
        <f>VLOOKUP(C11,テーブル!$E$3:$G$6,2,0)</f>
        <v>商品Ｂ</v>
      </c>
      <c r="E11" s="57">
        <v>129</v>
      </c>
      <c r="F11" s="45">
        <f>ROUND(VLOOKUP(C11,テーブル!$E$3:$G$6,3,0)*(1+VLOOKUP(E11,テーブル!$I$4:$K$6,MOD(C11,10)+1,1)),-1)</f>
        <v>2730</v>
      </c>
      <c r="G11" s="46">
        <f t="shared" si="1"/>
        <v>21490</v>
      </c>
      <c r="H11" s="47">
        <f t="shared" si="0"/>
        <v>330680</v>
      </c>
      <c r="I11" s="48">
        <f>H11-VLOOKUP(C11,テーブル!$E$3:$G$6,3,0)*E11</f>
        <v>61844</v>
      </c>
    </row>
    <row r="12" spans="1:9" x14ac:dyDescent="0.15">
      <c r="A12" s="2" t="s">
        <v>44</v>
      </c>
      <c r="B12" s="44" t="str">
        <f>VLOOKUP(A12,テーブル!$A$3:$C$8,2,0)</f>
        <v>里海洋品店</v>
      </c>
      <c r="C12" s="44">
        <v>201</v>
      </c>
      <c r="D12" s="43" t="str">
        <f>VLOOKUP(C12,テーブル!$E$3:$G$6,2,0)</f>
        <v>商品Ｃ</v>
      </c>
      <c r="E12" s="57">
        <v>98</v>
      </c>
      <c r="F12" s="45">
        <f>ROUND(VLOOKUP(C12,テーブル!$E$3:$G$6,3,0)*(1+VLOOKUP(E12,テーブル!$I$4:$K$6,MOD(C12,10)+1,1)),-1)</f>
        <v>2300</v>
      </c>
      <c r="G12" s="46">
        <f t="shared" si="1"/>
        <v>13750</v>
      </c>
      <c r="H12" s="47">
        <f t="shared" si="0"/>
        <v>211650</v>
      </c>
      <c r="I12" s="48">
        <f>H12-VLOOKUP(C12,テーブル!$E$3:$G$6,3,0)*E12</f>
        <v>41228</v>
      </c>
    </row>
    <row r="13" spans="1:9" x14ac:dyDescent="0.15">
      <c r="A13" s="2" t="s">
        <v>44</v>
      </c>
      <c r="B13" s="44" t="str">
        <f>VLOOKUP(A13,テーブル!$A$3:$C$8,2,0)</f>
        <v>里海洋品店</v>
      </c>
      <c r="C13" s="44">
        <v>202</v>
      </c>
      <c r="D13" s="43" t="str">
        <f>VLOOKUP(C13,テーブル!$E$3:$G$6,2,0)</f>
        <v>商品Ｄ</v>
      </c>
      <c r="E13" s="45">
        <v>211</v>
      </c>
      <c r="F13" s="45">
        <f>ROUND(VLOOKUP(C13,テーブル!$E$3:$G$6,3,0)*(1+VLOOKUP(E13,テーブル!$I$4:$K$6,MOD(C13,10)+1,1)),-1)</f>
        <v>2710</v>
      </c>
      <c r="G13" s="46">
        <f t="shared" si="1"/>
        <v>45180</v>
      </c>
      <c r="H13" s="47">
        <f t="shared" si="0"/>
        <v>526630</v>
      </c>
      <c r="I13" s="48">
        <f>H13-VLOOKUP(C13,テーブル!$E$3:$G$6,3,0)*E13</f>
        <v>69393</v>
      </c>
    </row>
    <row r="14" spans="1:9" x14ac:dyDescent="0.15">
      <c r="A14" s="2" t="s">
        <v>46</v>
      </c>
      <c r="B14" s="44" t="str">
        <f>VLOOKUP(A14,テーブル!$A$3:$C$8,2,0)</f>
        <v>ＯＪＩＭＡ</v>
      </c>
      <c r="C14" s="44">
        <v>101</v>
      </c>
      <c r="D14" s="43" t="str">
        <f>VLOOKUP(C14,テーブル!$E$3:$G$6,2,0)</f>
        <v>商品Ａ</v>
      </c>
      <c r="E14" s="45">
        <v>130</v>
      </c>
      <c r="F14" s="45">
        <f>ROUND(VLOOKUP(C14,テーブル!$E$3:$G$6,3,0)*(1+VLOOKUP(E14,テーブル!$I$4:$K$6,MOD(C14,10)+1,1)),-1)</f>
        <v>2230</v>
      </c>
      <c r="G14" s="46">
        <f t="shared" si="1"/>
        <v>17690</v>
      </c>
      <c r="H14" s="47">
        <f t="shared" si="0"/>
        <v>272210</v>
      </c>
      <c r="I14" s="48">
        <f>H14-VLOOKUP(C14,テーブル!$E$3:$G$6,3,0)*E14</f>
        <v>52380</v>
      </c>
    </row>
    <row r="15" spans="1:9" x14ac:dyDescent="0.15">
      <c r="A15" s="2" t="s">
        <v>46</v>
      </c>
      <c r="B15" s="44" t="str">
        <f>VLOOKUP(A15,テーブル!$A$3:$C$8,2,0)</f>
        <v>ＯＪＩＭＡ</v>
      </c>
      <c r="C15" s="44">
        <v>102</v>
      </c>
      <c r="D15" s="43" t="str">
        <f>VLOOKUP(C15,テーブル!$E$3:$G$6,2,0)</f>
        <v>商品Ｂ</v>
      </c>
      <c r="E15" s="45">
        <v>223</v>
      </c>
      <c r="F15" s="45">
        <f>ROUND(VLOOKUP(C15,テーブル!$E$3:$G$6,3,0)*(1+VLOOKUP(E15,テーブル!$I$4:$K$6,MOD(C15,10)+1,1)),-1)</f>
        <v>2610</v>
      </c>
      <c r="G15" s="46">
        <f t="shared" si="1"/>
        <v>45990</v>
      </c>
      <c r="H15" s="47">
        <f t="shared" si="0"/>
        <v>536040</v>
      </c>
      <c r="I15" s="48">
        <f>H15-VLOOKUP(C15,テーブル!$E$3:$G$6,3,0)*E15</f>
        <v>71308</v>
      </c>
    </row>
    <row r="16" spans="1:9" x14ac:dyDescent="0.15">
      <c r="A16" s="2" t="s">
        <v>46</v>
      </c>
      <c r="B16" s="44" t="str">
        <f>VLOOKUP(A16,テーブル!$A$3:$C$8,2,0)</f>
        <v>ＯＪＩＭＡ</v>
      </c>
      <c r="C16" s="44">
        <v>201</v>
      </c>
      <c r="D16" s="43" t="str">
        <f>VLOOKUP(C16,テーブル!$E$3:$G$6,2,0)</f>
        <v>商品Ｃ</v>
      </c>
      <c r="E16" s="45">
        <v>227</v>
      </c>
      <c r="F16" s="45">
        <f>ROUND(VLOOKUP(C16,テーブル!$E$3:$G$6,3,0)*(1+VLOOKUP(E16,テーブル!$I$4:$K$6,MOD(C16,10)+1,1)),-1)</f>
        <v>2190</v>
      </c>
      <c r="G16" s="46">
        <f t="shared" si="1"/>
        <v>39280</v>
      </c>
      <c r="H16" s="47">
        <f t="shared" si="0"/>
        <v>457850</v>
      </c>
      <c r="I16" s="48">
        <f>H16-VLOOKUP(C16,テーブル!$E$3:$G$6,3,0)*E16</f>
        <v>63097</v>
      </c>
    </row>
    <row r="17" spans="1:10" x14ac:dyDescent="0.15">
      <c r="A17" s="2" t="s">
        <v>46</v>
      </c>
      <c r="B17" s="44" t="str">
        <f>VLOOKUP(A17,テーブル!$A$3:$C$8,2,0)</f>
        <v>ＯＪＩＭＡ</v>
      </c>
      <c r="C17" s="44">
        <v>202</v>
      </c>
      <c r="D17" s="43" t="str">
        <f>VLOOKUP(C17,テーブル!$E$3:$G$6,2,0)</f>
        <v>商品Ｄ</v>
      </c>
      <c r="E17" s="45">
        <v>140</v>
      </c>
      <c r="F17" s="45">
        <f>ROUND(VLOOKUP(C17,テーブル!$E$3:$G$6,3,0)*(1+VLOOKUP(E17,テーブル!$I$4:$K$6,MOD(C17,10)+1,1)),-1)</f>
        <v>2770</v>
      </c>
      <c r="G17" s="46">
        <f t="shared" si="1"/>
        <v>23660</v>
      </c>
      <c r="H17" s="47">
        <f t="shared" si="0"/>
        <v>364140</v>
      </c>
      <c r="I17" s="48">
        <f>H17-VLOOKUP(C17,テーブル!$E$3:$G$6,3,0)*E17</f>
        <v>60760</v>
      </c>
    </row>
    <row r="18" spans="1:10" x14ac:dyDescent="0.15">
      <c r="A18" s="2" t="s">
        <v>48</v>
      </c>
      <c r="B18" s="44" t="str">
        <f>VLOOKUP(A18,テーブル!$A$3:$C$8,2,0)</f>
        <v>川谷商事</v>
      </c>
      <c r="C18" s="44">
        <v>101</v>
      </c>
      <c r="D18" s="43" t="str">
        <f>VLOOKUP(C18,テーブル!$E$3:$G$6,2,0)</f>
        <v>商品Ａ</v>
      </c>
      <c r="E18" s="45">
        <v>164</v>
      </c>
      <c r="F18" s="45">
        <f>ROUND(VLOOKUP(C18,テーブル!$E$3:$G$6,3,0)*(1+VLOOKUP(E18,テーブル!$I$4:$K$6,MOD(C18,10)+1,1)),-1)</f>
        <v>2180</v>
      </c>
      <c r="G18" s="46">
        <f t="shared" si="1"/>
        <v>21810</v>
      </c>
      <c r="H18" s="47">
        <f t="shared" si="0"/>
        <v>335710</v>
      </c>
      <c r="I18" s="48">
        <f>H18-VLOOKUP(C18,テーブル!$E$3:$G$6,3,0)*E18</f>
        <v>58386</v>
      </c>
    </row>
    <row r="19" spans="1:10" x14ac:dyDescent="0.15">
      <c r="A19" s="2" t="s">
        <v>48</v>
      </c>
      <c r="B19" s="44" t="str">
        <f>VLOOKUP(A19,テーブル!$A$3:$C$8,2,0)</f>
        <v>川谷商事</v>
      </c>
      <c r="C19" s="44">
        <v>102</v>
      </c>
      <c r="D19" s="43" t="str">
        <f>VLOOKUP(C19,テーブル!$E$3:$G$6,2,0)</f>
        <v>商品Ｂ</v>
      </c>
      <c r="E19" s="45">
        <v>94</v>
      </c>
      <c r="F19" s="45">
        <f>ROUND(VLOOKUP(C19,テーブル!$E$3:$G$6,3,0)*(1+VLOOKUP(E19,テーブル!$I$4:$K$6,MOD(C19,10)+1,1)),-1)</f>
        <v>2730</v>
      </c>
      <c r="G19" s="46">
        <f t="shared" si="1"/>
        <v>15660</v>
      </c>
      <c r="H19" s="47">
        <f t="shared" si="0"/>
        <v>240960</v>
      </c>
      <c r="I19" s="48">
        <f>H19-VLOOKUP(C19,テーブル!$E$3:$G$6,3,0)*E19</f>
        <v>45064</v>
      </c>
    </row>
    <row r="20" spans="1:10" x14ac:dyDescent="0.15">
      <c r="A20" s="2" t="s">
        <v>48</v>
      </c>
      <c r="B20" s="44" t="str">
        <f>VLOOKUP(A20,テーブル!$A$3:$C$8,2,0)</f>
        <v>川谷商事</v>
      </c>
      <c r="C20" s="44">
        <v>201</v>
      </c>
      <c r="D20" s="43" t="str">
        <f>VLOOKUP(C20,テーブル!$E$3:$G$6,2,0)</f>
        <v>商品Ｃ</v>
      </c>
      <c r="E20" s="45">
        <v>151</v>
      </c>
      <c r="F20" s="45">
        <f>ROUND(VLOOKUP(C20,テーブル!$E$3:$G$6,3,0)*(1+VLOOKUP(E20,テーブル!$I$4:$K$6,MOD(C20,10)+1,1)),-1)</f>
        <v>2240</v>
      </c>
      <c r="G20" s="46">
        <f t="shared" si="1"/>
        <v>20640</v>
      </c>
      <c r="H20" s="47">
        <f t="shared" si="0"/>
        <v>317600</v>
      </c>
      <c r="I20" s="48">
        <f>H20-VLOOKUP(C20,テーブル!$E$3:$G$6,3,0)*E20</f>
        <v>55011</v>
      </c>
    </row>
    <row r="21" spans="1:10" x14ac:dyDescent="0.15">
      <c r="A21" s="2" t="s">
        <v>48</v>
      </c>
      <c r="B21" s="44" t="str">
        <f>VLOOKUP(A21,テーブル!$A$3:$C$8,2,0)</f>
        <v>川谷商事</v>
      </c>
      <c r="C21" s="44">
        <v>202</v>
      </c>
      <c r="D21" s="43" t="str">
        <f>VLOOKUP(C21,テーブル!$E$3:$G$6,2,0)</f>
        <v>商品Ｄ</v>
      </c>
      <c r="E21" s="45">
        <v>137</v>
      </c>
      <c r="F21" s="45">
        <f>ROUND(VLOOKUP(C21,テーブル!$E$3:$G$6,3,0)*(1+VLOOKUP(E21,テーブル!$I$4:$K$6,MOD(C21,10)+1,1)),-1)</f>
        <v>2840</v>
      </c>
      <c r="G21" s="46">
        <f t="shared" si="1"/>
        <v>30740</v>
      </c>
      <c r="H21" s="47">
        <f t="shared" si="0"/>
        <v>358340</v>
      </c>
      <c r="I21" s="48">
        <f>H21-VLOOKUP(C21,テーブル!$E$3:$G$6,3,0)*E21</f>
        <v>61461</v>
      </c>
    </row>
    <row r="22" spans="1:10" x14ac:dyDescent="0.15">
      <c r="A22" s="2" t="s">
        <v>50</v>
      </c>
      <c r="B22" s="44" t="str">
        <f>VLOOKUP(A22,テーブル!$A$3:$C$8,2,0)</f>
        <v>岩波百貨</v>
      </c>
      <c r="C22" s="44">
        <v>101</v>
      </c>
      <c r="D22" s="43" t="str">
        <f>VLOOKUP(C22,テーブル!$E$3:$G$6,2,0)</f>
        <v>商品Ａ</v>
      </c>
      <c r="E22" s="45">
        <v>247</v>
      </c>
      <c r="F22" s="45">
        <f>ROUND(VLOOKUP(C22,テーブル!$E$3:$G$6,3,0)*(1+VLOOKUP(E22,テーブル!$I$4:$K$6,MOD(C22,10)+1,1)),-1)</f>
        <v>2130</v>
      </c>
      <c r="G22" s="46">
        <f t="shared" si="1"/>
        <v>41570</v>
      </c>
      <c r="H22" s="47">
        <f t="shared" si="0"/>
        <v>484540</v>
      </c>
      <c r="I22" s="48">
        <f>H22-VLOOKUP(C22,テーブル!$E$3:$G$6,3,0)*E22</f>
        <v>66863</v>
      </c>
    </row>
    <row r="23" spans="1:10" x14ac:dyDescent="0.15">
      <c r="A23" s="2" t="s">
        <v>50</v>
      </c>
      <c r="B23" s="44" t="str">
        <f>VLOOKUP(A23,テーブル!$A$3:$C$8,2,0)</f>
        <v>岩波百貨</v>
      </c>
      <c r="C23" s="44">
        <v>102</v>
      </c>
      <c r="D23" s="43" t="str">
        <f>VLOOKUP(C23,テーブル!$E$3:$G$6,2,0)</f>
        <v>商品Ｂ</v>
      </c>
      <c r="E23" s="45">
        <v>95</v>
      </c>
      <c r="F23" s="45">
        <f>ROUND(VLOOKUP(C23,テーブル!$E$3:$G$6,3,0)*(1+VLOOKUP(E23,テーブル!$I$4:$K$6,MOD(C23,10)+1,1)),-1)</f>
        <v>2730</v>
      </c>
      <c r="G23" s="46">
        <f t="shared" si="1"/>
        <v>15830</v>
      </c>
      <c r="H23" s="47">
        <f t="shared" si="0"/>
        <v>243520</v>
      </c>
      <c r="I23" s="48">
        <f>H23-VLOOKUP(C23,テーブル!$E$3:$G$6,3,0)*E23</f>
        <v>45540</v>
      </c>
    </row>
    <row r="24" spans="1:10" x14ac:dyDescent="0.15">
      <c r="A24" s="2" t="s">
        <v>50</v>
      </c>
      <c r="B24" s="44" t="str">
        <f>VLOOKUP(A24,テーブル!$A$3:$C$8,2,0)</f>
        <v>岩波百貨</v>
      </c>
      <c r="C24" s="44">
        <v>201</v>
      </c>
      <c r="D24" s="43" t="str">
        <f>VLOOKUP(C24,テーブル!$E$3:$G$6,2,0)</f>
        <v>商品Ｃ</v>
      </c>
      <c r="E24" s="45">
        <v>104</v>
      </c>
      <c r="F24" s="45">
        <f>ROUND(VLOOKUP(C24,テーブル!$E$3:$G$6,3,0)*(1+VLOOKUP(E24,テーブル!$I$4:$K$6,MOD(C24,10)+1,1)),-1)</f>
        <v>2300</v>
      </c>
      <c r="G24" s="46">
        <f t="shared" si="1"/>
        <v>14600</v>
      </c>
      <c r="H24" s="47">
        <f t="shared" si="0"/>
        <v>224600</v>
      </c>
      <c r="I24" s="48">
        <f>H24-VLOOKUP(C24,テーブル!$E$3:$G$6,3,0)*E24</f>
        <v>43744</v>
      </c>
    </row>
    <row r="25" spans="1:10" x14ac:dyDescent="0.15">
      <c r="A25" s="2" t="s">
        <v>50</v>
      </c>
      <c r="B25" s="44" t="str">
        <f>VLOOKUP(A25,テーブル!$A$3:$C$8,2,0)</f>
        <v>岩波百貨</v>
      </c>
      <c r="C25" s="44">
        <v>202</v>
      </c>
      <c r="D25" s="43" t="str">
        <f>VLOOKUP(C25,テーブル!$E$3:$G$6,2,0)</f>
        <v>商品Ｄ</v>
      </c>
      <c r="E25" s="45">
        <v>162</v>
      </c>
      <c r="F25" s="45">
        <f>ROUND(VLOOKUP(C25,テーブル!$E$3:$G$6,3,0)*(1+VLOOKUP(E25,テーブル!$I$4:$K$6,MOD(C25,10)+1,1)),-1)</f>
        <v>2770</v>
      </c>
      <c r="G25" s="46">
        <f t="shared" si="1"/>
        <v>27380</v>
      </c>
      <c r="H25" s="47">
        <f t="shared" si="0"/>
        <v>421360</v>
      </c>
      <c r="I25" s="48">
        <f>H25-VLOOKUP(C25,テーブル!$E$3:$G$6,3,0)*E25</f>
        <v>70306</v>
      </c>
    </row>
    <row r="26" spans="1:10" x14ac:dyDescent="0.15">
      <c r="A26" s="42"/>
      <c r="B26" s="44"/>
      <c r="C26" s="44"/>
      <c r="D26" s="49"/>
      <c r="E26" s="44"/>
      <c r="F26" s="44"/>
      <c r="G26" s="44"/>
      <c r="H26" s="44"/>
      <c r="I26" s="50"/>
    </row>
    <row r="27" spans="1:10" ht="14.25" thickBot="1" x14ac:dyDescent="0.2">
      <c r="A27" s="51"/>
      <c r="B27" s="64" t="s">
        <v>1</v>
      </c>
      <c r="C27" s="53"/>
      <c r="D27" s="52"/>
      <c r="E27" s="55">
        <f>SUM(E2:E25)</f>
        <v>4084</v>
      </c>
      <c r="F27" s="55"/>
      <c r="G27" s="55">
        <f>SUM(G2:G25)</f>
        <v>704790</v>
      </c>
      <c r="H27" s="55">
        <f>SUM(H2:H25)</f>
        <v>9315300</v>
      </c>
      <c r="I27" s="56">
        <f>SUM(I2:I25)</f>
        <v>1481225</v>
      </c>
      <c r="J27" s="1" t="s">
        <v>56</v>
      </c>
    </row>
    <row r="29" spans="1:10" x14ac:dyDescent="0.15">
      <c r="E29" s="19"/>
      <c r="F29" s="19"/>
      <c r="H29" s="19"/>
      <c r="I29" s="19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35"/>
  <sheetViews>
    <sheetView tabSelected="1" workbookViewId="0">
      <selection sqref="A1:D1"/>
    </sheetView>
  </sheetViews>
  <sheetFormatPr defaultRowHeight="13.5" x14ac:dyDescent="0.15"/>
  <cols>
    <col min="1" max="2" width="7.5" style="1" bestFit="1" customWidth="1"/>
    <col min="3" max="3" width="11.625" style="1" bestFit="1" customWidth="1"/>
    <col min="4" max="4" width="10.5" style="1" bestFit="1" customWidth="1"/>
    <col min="5" max="5" width="10.875" style="1" customWidth="1"/>
    <col min="6" max="6" width="7.5" style="1" bestFit="1" customWidth="1"/>
    <col min="7" max="7" width="11.625" style="1" bestFit="1" customWidth="1"/>
    <col min="8" max="8" width="8.5" style="1" bestFit="1" customWidth="1"/>
    <col min="9" max="10" width="10.5" style="1" bestFit="1" customWidth="1"/>
    <col min="11" max="11" width="8.5" style="1" bestFit="1" customWidth="1"/>
    <col min="12" max="14" width="10.5" style="1" bestFit="1" customWidth="1"/>
    <col min="15" max="15" width="11.625" style="1" bestFit="1" customWidth="1"/>
    <col min="16" max="16" width="10.5" style="1" bestFit="1" customWidth="1"/>
    <col min="17" max="17" width="7.5" style="1" bestFit="1" customWidth="1"/>
    <col min="18" max="18" width="8.5" style="1" bestFit="1" customWidth="1"/>
    <col min="19" max="19" width="11.625" style="1" bestFit="1" customWidth="1"/>
    <col min="20" max="20" width="5.5" style="1" bestFit="1" customWidth="1"/>
    <col min="21" max="21" width="10.75" style="1" customWidth="1"/>
    <col min="22" max="16384" width="9" style="1"/>
  </cols>
  <sheetData>
    <row r="1" spans="1:21" ht="14.25" thickBot="1" x14ac:dyDescent="0.2">
      <c r="A1" s="79" t="s">
        <v>18</v>
      </c>
      <c r="B1" s="79"/>
      <c r="C1" s="79"/>
      <c r="D1" s="79"/>
      <c r="E1" s="17"/>
      <c r="F1" s="80" t="s">
        <v>25</v>
      </c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</row>
    <row r="2" spans="1:21" x14ac:dyDescent="0.15">
      <c r="A2" s="11" t="s">
        <v>5</v>
      </c>
      <c r="B2" s="63" t="s">
        <v>11</v>
      </c>
      <c r="C2" s="63" t="s">
        <v>12</v>
      </c>
      <c r="D2" s="22" t="s">
        <v>17</v>
      </c>
      <c r="E2" s="12"/>
      <c r="F2" s="35"/>
      <c r="G2" s="36"/>
      <c r="H2" s="81" t="s">
        <v>22</v>
      </c>
      <c r="I2" s="81"/>
      <c r="J2" s="81"/>
      <c r="K2" s="81" t="s">
        <v>23</v>
      </c>
      <c r="L2" s="81"/>
      <c r="M2" s="81"/>
      <c r="N2" s="81" t="s">
        <v>24</v>
      </c>
      <c r="O2" s="81"/>
      <c r="P2" s="81"/>
      <c r="Q2" s="37"/>
      <c r="R2" s="37"/>
      <c r="S2" s="38"/>
      <c r="T2" s="70"/>
    </row>
    <row r="3" spans="1:21" x14ac:dyDescent="0.15">
      <c r="A3" s="2" t="s">
        <v>26</v>
      </c>
      <c r="B3" s="5">
        <f>DSUM(前期!$A$1:$I$25,B$2,$A$10:$A$11)+DSUM(後期!$A$1:$I$25,B$2,$A$10:$A$11)</f>
        <v>2151</v>
      </c>
      <c r="C3" s="5">
        <f>DSUM(前期!$A$1:$I$25,C$2,$A$10:$A$11)+DSUM(後期!$A$1:$I$25,C$2,$A$10:$A$11)</f>
        <v>4348620</v>
      </c>
      <c r="D3" s="4">
        <f>DSUM(前期!$A$1:$I$25,D$2,$A$10:$A$11)+DSUM(後期!$A$1:$I$25,D$2,$A$10:$A$11)</f>
        <v>711279</v>
      </c>
      <c r="E3" s="13"/>
      <c r="F3" s="32" t="s">
        <v>9</v>
      </c>
      <c r="G3" s="62" t="s">
        <v>10</v>
      </c>
      <c r="H3" s="31" t="s">
        <v>55</v>
      </c>
      <c r="I3" s="31" t="s">
        <v>12</v>
      </c>
      <c r="J3" s="30" t="s">
        <v>17</v>
      </c>
      <c r="K3" s="31" t="s">
        <v>55</v>
      </c>
      <c r="L3" s="31" t="s">
        <v>12</v>
      </c>
      <c r="M3" s="30" t="s">
        <v>17</v>
      </c>
      <c r="N3" s="31" t="s">
        <v>55</v>
      </c>
      <c r="O3" s="31" t="s">
        <v>12</v>
      </c>
      <c r="P3" s="30" t="s">
        <v>17</v>
      </c>
      <c r="Q3" s="33" t="s">
        <v>2</v>
      </c>
      <c r="R3" s="33" t="s">
        <v>21</v>
      </c>
      <c r="S3" s="34" t="s">
        <v>19</v>
      </c>
      <c r="T3" s="71" t="s">
        <v>15</v>
      </c>
    </row>
    <row r="4" spans="1:21" x14ac:dyDescent="0.15">
      <c r="A4" s="20" t="s">
        <v>27</v>
      </c>
      <c r="B4" s="5">
        <f>DSUM(前期!$A$1:$I$25,B$2,$B$10:$B$11)+DSUM(後期!$A$1:$I$25,B$2,$B$10:$B$11)</f>
        <v>2091</v>
      </c>
      <c r="C4" s="5">
        <f>DSUM(前期!$A$1:$I$25,C$2,$B$10:$B$11)+DSUM(後期!$A$1:$I$25,C$2,$B$10:$B$11)</f>
        <v>5174150</v>
      </c>
      <c r="D4" s="4">
        <f>DSUM(前期!$A$1:$I$25,D$2,$B$10:$B$11)+DSUM(後期!$A$1:$I$25,D$2,$B$10:$B$11)</f>
        <v>816506</v>
      </c>
      <c r="E4" s="13"/>
      <c r="F4" s="2" t="s">
        <v>42</v>
      </c>
      <c r="G4" s="3" t="str">
        <f>VLOOKUP(F4,テーブル!$A$3:$C$8,2,0)</f>
        <v>秋山堂</v>
      </c>
      <c r="H4" s="5">
        <f ca="1">DSUM(INDIRECT($H$2&amp;"!$A$1:$I$25"),H$3,$G$13:$G$14)</f>
        <v>117560</v>
      </c>
      <c r="I4" s="5">
        <f ca="1">DSUM(INDIRECT($H$2&amp;"!$A$1:$I$25"),I$3,$G$13:$G$14)</f>
        <v>1616610</v>
      </c>
      <c r="J4" s="5">
        <f ca="1">DSUM(INDIRECT($H$2&amp;"!$A$1:$I$25"),J$3,$G$13:$G$14)</f>
        <v>258883</v>
      </c>
      <c r="K4" s="5">
        <f ca="1">DSUM(INDIRECT($K$2&amp;"!$A$1:$I$25"),K$3,$G$13:$G$14)</f>
        <v>165760</v>
      </c>
      <c r="L4" s="5">
        <f ca="1">DSUM(INDIRECT($K$2&amp;"!$A$1:$I$25"),L$3,$G$13:$G$14)</f>
        <v>2026040</v>
      </c>
      <c r="M4" s="5">
        <f ca="1">DSUM(INDIRECT($K$2&amp;"!$A$1:$I$25"),M$3,$G$13:$G$14)</f>
        <v>286394</v>
      </c>
      <c r="N4" s="5">
        <f t="shared" ref="N4:P9" ca="1" si="0">H4+K4</f>
        <v>283320</v>
      </c>
      <c r="O4" s="5">
        <f t="shared" ca="1" si="0"/>
        <v>3642650</v>
      </c>
      <c r="P4" s="47">
        <f t="shared" ca="1" si="0"/>
        <v>545277</v>
      </c>
      <c r="Q4" s="73">
        <f ca="1">ROUNDDOWN(P4/VLOOKUP(F4,テーブル!$A$3:$C$8,3,0),3)</f>
        <v>1.006</v>
      </c>
      <c r="R4" s="5">
        <f ca="1">ROUNDDOWN(O4*VLOOKUP(RIGHT(F4,1),テーブル!$M$3:$N$5,2,0),-2)</f>
        <v>127400</v>
      </c>
      <c r="S4" s="5">
        <f t="shared" ref="S4:S9" ca="1" si="1">O4-R4</f>
        <v>3515250</v>
      </c>
      <c r="T4" s="74" t="str">
        <f t="shared" ref="T4:T9" ca="1" si="2">IF(AND(Q4&gt;=100%,P4&gt;=AVERAGE($P$4:$P$9)),"＊＊","＊")</f>
        <v>＊＊</v>
      </c>
    </row>
    <row r="5" spans="1:21" x14ac:dyDescent="0.15">
      <c r="A5" s="20" t="s">
        <v>28</v>
      </c>
      <c r="B5" s="5">
        <f>DSUM(前期!$A$1:$I$25,B$2,$C$10:$C$11)+DSUM(後期!$A$1:$I$25,B$2,$C$10:$C$11)</f>
        <v>1977</v>
      </c>
      <c r="C5" s="5">
        <f>DSUM(前期!$A$1:$I$25,C$2,$C$10:$C$11)+DSUM(後期!$A$1:$I$25,C$2,$C$10:$C$11)</f>
        <v>4101870</v>
      </c>
      <c r="D5" s="4">
        <f>DSUM(前期!$A$1:$I$25,D$2,$C$10:$C$11)+DSUM(後期!$A$1:$I$25,D$2,$C$10:$C$11)</f>
        <v>663867</v>
      </c>
      <c r="E5" s="13"/>
      <c r="F5" s="2" t="s">
        <v>44</v>
      </c>
      <c r="G5" s="3" t="str">
        <f>VLOOKUP(F5,テーブル!$A$3:$C$8,2,0)</f>
        <v>里海洋品店</v>
      </c>
      <c r="H5" s="5">
        <f ca="1">DSUM(INDIRECT($H$2&amp;"!$A$1:$I$25"),H$3,$H$13:$H$14)</f>
        <v>153630</v>
      </c>
      <c r="I5" s="5">
        <f ca="1">DSUM(INDIRECT($H$2&amp;"!$A$1:$I$25"),I$3,$H$13:$H$14)</f>
        <v>2008850</v>
      </c>
      <c r="J5" s="5">
        <f ca="1">DSUM(INDIRECT($H$2&amp;"!$A$1:$I$25"),J$3,$H$13:$H$14)</f>
        <v>302873</v>
      </c>
      <c r="K5" s="5">
        <f ca="1">DSUM(INDIRECT($K$2&amp;"!$A$1:$I$25"),K$3,$H$13:$H$14)</f>
        <v>115930</v>
      </c>
      <c r="L5" s="5">
        <f ca="1">DSUM(INDIRECT($K$2&amp;"!$A$1:$I$25"),L$3,$H$13:$H$14)</f>
        <v>1482880</v>
      </c>
      <c r="M5" s="5">
        <f ca="1">DSUM(INDIRECT($K$2&amp;"!$A$1:$I$25"),M$3,$H$13:$H$14)</f>
        <v>229584</v>
      </c>
      <c r="N5" s="5">
        <f t="shared" ca="1" si="0"/>
        <v>269560</v>
      </c>
      <c r="O5" s="5">
        <f t="shared" ca="1" si="0"/>
        <v>3491730</v>
      </c>
      <c r="P5" s="47">
        <f t="shared" ca="1" si="0"/>
        <v>532457</v>
      </c>
      <c r="Q5" s="73">
        <f ca="1">ROUNDDOWN(P5/VLOOKUP(F5,テーブル!$A$3:$C$8,3,0),3)</f>
        <v>0.997</v>
      </c>
      <c r="R5" s="5">
        <f ca="1">ROUNDDOWN(O5*VLOOKUP(RIGHT(F5,1),テーブル!$M$3:$N$5,2,0),-2)</f>
        <v>129100</v>
      </c>
      <c r="S5" s="5">
        <f t="shared" ca="1" si="1"/>
        <v>3362630</v>
      </c>
      <c r="T5" s="74" t="str">
        <f t="shared" ca="1" si="2"/>
        <v>＊</v>
      </c>
    </row>
    <row r="6" spans="1:21" x14ac:dyDescent="0.15">
      <c r="A6" s="20" t="s">
        <v>7</v>
      </c>
      <c r="B6" s="5">
        <f>DSUM(前期!$A$1:$I$25,B$2,$D$10:$D$11)+DSUM(後期!$A$1:$I$25,B$2,$D$10:$D$11)</f>
        <v>2093</v>
      </c>
      <c r="C6" s="5">
        <f>DSUM(前期!$A$1:$I$25,C$2,$D$10:$D$11)+DSUM(後期!$A$1:$I$25,C$2,$D$10:$D$11)</f>
        <v>5353310</v>
      </c>
      <c r="D6" s="4">
        <f>DSUM(前期!$A$1:$I$25,D$2,$D$10:$D$11)+DSUM(後期!$A$1:$I$25,D$2,$D$10:$D$11)</f>
        <v>817779</v>
      </c>
      <c r="E6" s="13"/>
      <c r="F6" s="2" t="s">
        <v>46</v>
      </c>
      <c r="G6" s="3" t="str">
        <f>VLOOKUP(F6,テーブル!$A$3:$C$8,2,0)</f>
        <v>ＯＪＩＭＡ</v>
      </c>
      <c r="H6" s="5">
        <f ca="1">DSUM(INDIRECT($H$2&amp;"!$A$1:$I$25"),H$3,$I$13:$I$14)</f>
        <v>116420</v>
      </c>
      <c r="I6" s="5">
        <f ca="1">DSUM(INDIRECT($H$2&amp;"!$A$1:$I$25"),I$3,$I$13:$I$14)</f>
        <v>1530610</v>
      </c>
      <c r="J6" s="5">
        <f ca="1">DSUM(INDIRECT($H$2&amp;"!$A$1:$I$25"),J$3,$I$13:$I$14)</f>
        <v>252391</v>
      </c>
      <c r="K6" s="5">
        <f ca="1">DSUM(INDIRECT($K$2&amp;"!$A$1:$I$25"),K$3,$I$13:$I$14)</f>
        <v>126620</v>
      </c>
      <c r="L6" s="5">
        <f ca="1">DSUM(INDIRECT($K$2&amp;"!$A$1:$I$25"),L$3,$I$13:$I$14)</f>
        <v>1630240</v>
      </c>
      <c r="M6" s="5">
        <f ca="1">DSUM(INDIRECT($K$2&amp;"!$A$1:$I$25"),M$3,$I$13:$I$14)</f>
        <v>247545</v>
      </c>
      <c r="N6" s="5">
        <f t="shared" ca="1" si="0"/>
        <v>243040</v>
      </c>
      <c r="O6" s="5">
        <f t="shared" ca="1" si="0"/>
        <v>3160850</v>
      </c>
      <c r="P6" s="47">
        <f t="shared" ca="1" si="0"/>
        <v>499936</v>
      </c>
      <c r="Q6" s="73">
        <f ca="1">ROUNDDOWN(P6/VLOOKUP(F6,テーブル!$A$3:$C$8,3,0),3)</f>
        <v>0.97899999999999998</v>
      </c>
      <c r="R6" s="5">
        <f ca="1">ROUNDDOWN(O6*VLOOKUP(RIGHT(F6,1),テーブル!$M$3:$N$5,2,0),-2)</f>
        <v>110600</v>
      </c>
      <c r="S6" s="5">
        <f t="shared" ca="1" si="1"/>
        <v>3050250</v>
      </c>
      <c r="T6" s="74" t="str">
        <f t="shared" ca="1" si="2"/>
        <v>＊</v>
      </c>
    </row>
    <row r="7" spans="1:21" x14ac:dyDescent="0.15">
      <c r="A7" s="2"/>
      <c r="B7" s="3"/>
      <c r="C7" s="3"/>
      <c r="D7" s="6"/>
      <c r="F7" s="2" t="s">
        <v>40</v>
      </c>
      <c r="G7" s="3" t="str">
        <f>VLOOKUP(F7,テーブル!$A$3:$C$8,2,0)</f>
        <v>ショップ泉</v>
      </c>
      <c r="H7" s="5">
        <f ca="1">DSUM(INDIRECT($H$2&amp;"!$A$1:$I$25"),H$3,$F$13:$F$14)</f>
        <v>131010</v>
      </c>
      <c r="I7" s="5">
        <f ca="1">DSUM(INDIRECT($H$2&amp;"!$A$1:$I$25"),I$3,$F$13:$F$14)</f>
        <v>1597690</v>
      </c>
      <c r="J7" s="5">
        <f ca="1">DSUM(INDIRECT($H$2&amp;"!$A$1:$I$25"),J$3,$F$13:$F$14)</f>
        <v>244840</v>
      </c>
      <c r="K7" s="5">
        <f ca="1">DSUM(INDIRECT($K$2&amp;"!$A$1:$I$25"),K$3,$F$13:$F$14)</f>
        <v>108250</v>
      </c>
      <c r="L7" s="5">
        <f ca="1">DSUM(INDIRECT($K$2&amp;"!$A$1:$I$25"),L$3,$F$13:$F$14)</f>
        <v>1549510</v>
      </c>
      <c r="M7" s="5">
        <f ca="1">DSUM(INDIRECT($K$2&amp;"!$A$1:$I$25"),M$3,$F$13:$F$14)</f>
        <v>271327</v>
      </c>
      <c r="N7" s="5">
        <f t="shared" ca="1" si="0"/>
        <v>239260</v>
      </c>
      <c r="O7" s="5">
        <f t="shared" ca="1" si="0"/>
        <v>3147200</v>
      </c>
      <c r="P7" s="47">
        <f t="shared" ca="1" si="0"/>
        <v>516167</v>
      </c>
      <c r="Q7" s="73">
        <f ca="1">ROUNDDOWN(P7/VLOOKUP(F7,テーブル!$A$3:$C$8,3,0),3)</f>
        <v>1.0629999999999999</v>
      </c>
      <c r="R7" s="5">
        <f ca="1">ROUNDDOWN(O7*VLOOKUP(RIGHT(F7,1),テーブル!$M$3:$N$5,2,0),-2)</f>
        <v>97500</v>
      </c>
      <c r="S7" s="5">
        <f t="shared" ca="1" si="1"/>
        <v>3049700</v>
      </c>
      <c r="T7" s="74" t="str">
        <f t="shared" ca="1" si="2"/>
        <v>＊＊</v>
      </c>
    </row>
    <row r="8" spans="1:21" ht="14.25" thickBot="1" x14ac:dyDescent="0.2">
      <c r="A8" s="26" t="s">
        <v>0</v>
      </c>
      <c r="B8" s="9">
        <f>SUM(B3:B6)</f>
        <v>8312</v>
      </c>
      <c r="C8" s="9">
        <f>SUM(C3:C6)</f>
        <v>18977950</v>
      </c>
      <c r="D8" s="27">
        <f>SUM(D3:D6)</f>
        <v>3009431</v>
      </c>
      <c r="E8" s="1" t="s">
        <v>56</v>
      </c>
      <c r="F8" s="2" t="s">
        <v>48</v>
      </c>
      <c r="G8" s="3" t="str">
        <f>VLOOKUP(F8,テーブル!$A$3:$C$8,2,0)</f>
        <v>川谷商事</v>
      </c>
      <c r="H8" s="5">
        <f ca="1">DSUM(INDIRECT($H$2&amp;"!$A$1:$I$25"),H$3,$J$13:$J$14)</f>
        <v>108670</v>
      </c>
      <c r="I8" s="5">
        <f ca="1">DSUM(INDIRECT($H$2&amp;"!$A$1:$I$25"),I$3,$J$13:$J$14)</f>
        <v>1509240</v>
      </c>
      <c r="J8" s="5">
        <f ca="1">DSUM(INDIRECT($H$2&amp;"!$A$1:$I$25"),J$3,$J$13:$J$14)</f>
        <v>241927</v>
      </c>
      <c r="K8" s="5">
        <f ca="1">DSUM(INDIRECT($K$2&amp;"!$A$1:$I$25"),K$3,$J$13:$J$14)</f>
        <v>88850</v>
      </c>
      <c r="L8" s="5">
        <f ca="1">DSUM(INDIRECT($K$2&amp;"!$A$1:$I$25"),L$3,$J$13:$J$14)</f>
        <v>1252610</v>
      </c>
      <c r="M8" s="5">
        <f ca="1">DSUM(INDIRECT($K$2&amp;"!$A$1:$I$25"),M$3,$J$13:$J$14)</f>
        <v>219922</v>
      </c>
      <c r="N8" s="5">
        <f t="shared" ca="1" si="0"/>
        <v>197520</v>
      </c>
      <c r="O8" s="5">
        <f t="shared" ca="1" si="0"/>
        <v>2761850</v>
      </c>
      <c r="P8" s="47">
        <f t="shared" ca="1" si="0"/>
        <v>461849</v>
      </c>
      <c r="Q8" s="73">
        <f ca="1">ROUNDDOWN(P8/VLOOKUP(F8,テーブル!$A$3:$C$8,3,0),3)</f>
        <v>0.93799999999999994</v>
      </c>
      <c r="R8" s="5">
        <f ca="1">ROUNDDOWN(O8*VLOOKUP(RIGHT(F8,1),テーブル!$M$3:$N$5,2,0),-2)</f>
        <v>85600</v>
      </c>
      <c r="S8" s="5">
        <f t="shared" ca="1" si="1"/>
        <v>2676250</v>
      </c>
      <c r="T8" s="74" t="str">
        <f t="shared" ca="1" si="2"/>
        <v>＊</v>
      </c>
    </row>
    <row r="9" spans="1:21" ht="14.25" thickBot="1" x14ac:dyDescent="0.2">
      <c r="F9" s="2" t="s">
        <v>50</v>
      </c>
      <c r="G9" s="3" t="str">
        <f>VLOOKUP(F9,テーブル!$A$3:$C$8,2,0)</f>
        <v>岩波百貨</v>
      </c>
      <c r="H9" s="5">
        <f ca="1">DSUM(INDIRECT($H$2&amp;"!$A$1:$I$25"),H$3,$K$13:$K$14)</f>
        <v>107400</v>
      </c>
      <c r="I9" s="5">
        <f ca="1">DSUM(INDIRECT($H$2&amp;"!$A$1:$I$25"),I$3,$K$13:$K$14)</f>
        <v>1399650</v>
      </c>
      <c r="J9" s="5">
        <f ca="1">DSUM(INDIRECT($H$2&amp;"!$A$1:$I$25"),J$3,$K$13:$K$14)</f>
        <v>227292</v>
      </c>
      <c r="K9" s="5">
        <f ca="1">DSUM(INDIRECT($K$2&amp;"!$A$1:$I$25"),K$3,$K$13:$K$14)</f>
        <v>99380</v>
      </c>
      <c r="L9" s="5">
        <f ca="1">DSUM(INDIRECT($K$2&amp;"!$A$1:$I$25"),L$3,$K$13:$K$14)</f>
        <v>1374020</v>
      </c>
      <c r="M9" s="5">
        <f ca="1">DSUM(INDIRECT($K$2&amp;"!$A$1:$I$25"),M$3,$K$13:$K$14)</f>
        <v>226453</v>
      </c>
      <c r="N9" s="5">
        <f t="shared" ca="1" si="0"/>
        <v>206780</v>
      </c>
      <c r="O9" s="5">
        <f t="shared" ca="1" si="0"/>
        <v>2773670</v>
      </c>
      <c r="P9" s="47">
        <f t="shared" ca="1" si="0"/>
        <v>453745</v>
      </c>
      <c r="Q9" s="73">
        <f ca="1">ROUNDDOWN(P9/VLOOKUP(F9,テーブル!$A$3:$C$8,3,0),3)</f>
        <v>1.002</v>
      </c>
      <c r="R9" s="5">
        <f ca="1">ROUNDDOWN(O9*VLOOKUP(RIGHT(F9,1),テーブル!$M$3:$N$5,2,0),-2)</f>
        <v>102600</v>
      </c>
      <c r="S9" s="5">
        <f t="shared" ca="1" si="1"/>
        <v>2671070</v>
      </c>
      <c r="T9" s="74" t="str">
        <f t="shared" ca="1" si="2"/>
        <v>＊</v>
      </c>
    </row>
    <row r="10" spans="1:21" x14ac:dyDescent="0.15">
      <c r="A10" s="18" t="s">
        <v>5</v>
      </c>
      <c r="B10" s="18" t="s">
        <v>5</v>
      </c>
      <c r="C10" s="18" t="s">
        <v>5</v>
      </c>
      <c r="D10" s="18" t="s">
        <v>5</v>
      </c>
      <c r="F10" s="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6"/>
    </row>
    <row r="11" spans="1:21" ht="14.25" thickBot="1" x14ac:dyDescent="0.2">
      <c r="A11" s="10" t="s">
        <v>26</v>
      </c>
      <c r="B11" s="21" t="s">
        <v>27</v>
      </c>
      <c r="C11" s="21" t="s">
        <v>28</v>
      </c>
      <c r="D11" s="28" t="s">
        <v>7</v>
      </c>
      <c r="F11" s="7"/>
      <c r="G11" s="8" t="s">
        <v>0</v>
      </c>
      <c r="H11" s="9">
        <f t="shared" ref="H11:O11" ca="1" si="3">SUM(H4:H9)</f>
        <v>734690</v>
      </c>
      <c r="I11" s="9">
        <f t="shared" ca="1" si="3"/>
        <v>9662650</v>
      </c>
      <c r="J11" s="9">
        <f t="shared" ca="1" si="3"/>
        <v>1528206</v>
      </c>
      <c r="K11" s="9">
        <f t="shared" ca="1" si="3"/>
        <v>704790</v>
      </c>
      <c r="L11" s="9">
        <f t="shared" ca="1" si="3"/>
        <v>9315300</v>
      </c>
      <c r="M11" s="9">
        <f t="shared" ca="1" si="3"/>
        <v>1481225</v>
      </c>
      <c r="N11" s="9">
        <f t="shared" ca="1" si="3"/>
        <v>1439480</v>
      </c>
      <c r="O11" s="9">
        <f t="shared" ca="1" si="3"/>
        <v>18977950</v>
      </c>
      <c r="P11" s="9">
        <f ca="1">SUM(P4:P9)</f>
        <v>3009431</v>
      </c>
      <c r="Q11" s="9"/>
      <c r="R11" s="9">
        <f ca="1">SUM(R4:R9)</f>
        <v>652800</v>
      </c>
      <c r="S11" s="9">
        <f ca="1">SUM(S4:S9)</f>
        <v>18325150</v>
      </c>
      <c r="T11" s="27"/>
      <c r="U11" s="1" t="s">
        <v>56</v>
      </c>
    </row>
    <row r="12" spans="1:21" ht="14.25" thickBot="1" x14ac:dyDescent="0.2">
      <c r="H12" s="19"/>
      <c r="I12" s="19"/>
      <c r="J12" s="19"/>
      <c r="K12" s="19"/>
      <c r="L12" s="19"/>
    </row>
    <row r="13" spans="1:21" x14ac:dyDescent="0.15">
      <c r="F13" s="18" t="s">
        <v>9</v>
      </c>
      <c r="G13" s="18" t="s">
        <v>9</v>
      </c>
      <c r="H13" s="18" t="s">
        <v>9</v>
      </c>
      <c r="I13" s="65" t="s">
        <v>9</v>
      </c>
      <c r="J13" s="18" t="s">
        <v>9</v>
      </c>
      <c r="K13" s="18" t="s">
        <v>9</v>
      </c>
      <c r="M13" s="19"/>
    </row>
    <row r="14" spans="1:21" ht="14.25" thickBot="1" x14ac:dyDescent="0.2">
      <c r="F14" s="10" t="s">
        <v>40</v>
      </c>
      <c r="G14" s="10" t="s">
        <v>42</v>
      </c>
      <c r="H14" s="10" t="s">
        <v>44</v>
      </c>
      <c r="I14" s="66" t="s">
        <v>46</v>
      </c>
      <c r="J14" s="68" t="s">
        <v>48</v>
      </c>
      <c r="K14" s="67" t="s">
        <v>50</v>
      </c>
      <c r="L14" s="23"/>
    </row>
    <row r="15" spans="1:21" x14ac:dyDescent="0.15">
      <c r="F15"/>
      <c r="G15"/>
      <c r="H15"/>
      <c r="I15"/>
      <c r="J15"/>
      <c r="K15"/>
      <c r="L15"/>
    </row>
    <row r="16" spans="1:21" x14ac:dyDescent="0.15">
      <c r="F16"/>
      <c r="G16"/>
      <c r="H16"/>
      <c r="I16"/>
      <c r="J16"/>
      <c r="K16"/>
      <c r="L16"/>
    </row>
    <row r="17" spans="6:12" x14ac:dyDescent="0.15">
      <c r="F17"/>
      <c r="G17"/>
      <c r="H17"/>
      <c r="I17"/>
      <c r="J17"/>
      <c r="K17"/>
      <c r="L17"/>
    </row>
    <row r="35" spans="13:21" x14ac:dyDescent="0.15">
      <c r="M35" s="59" t="s">
        <v>57</v>
      </c>
      <c r="U35" s="59" t="s">
        <v>57</v>
      </c>
    </row>
  </sheetData>
  <sortState xmlns:xlrd2="http://schemas.microsoft.com/office/spreadsheetml/2017/richdata2" ref="F1:T9">
    <sortCondition descending="1" ref="S4:S9"/>
  </sortState>
  <mergeCells count="5">
    <mergeCell ref="A1:D1"/>
    <mergeCell ref="F1:T1"/>
    <mergeCell ref="H2:J2"/>
    <mergeCell ref="K2:M2"/>
    <mergeCell ref="N2:P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前期</vt:lpstr>
      <vt:lpstr>後期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日本情報処理検定協会(K.Y)</cp:lastModifiedBy>
  <cp:lastPrinted>2016-01-05T05:50:06Z</cp:lastPrinted>
  <dcterms:created xsi:type="dcterms:W3CDTF">2012-06-19T05:36:06Z</dcterms:created>
  <dcterms:modified xsi:type="dcterms:W3CDTF">2021-09-06T02:03:36Z</dcterms:modified>
</cp:coreProperties>
</file>